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HUSEYNOV\VU Amsterdam\1. PhD Project\16. Publications\3. 3rd publication\Supplementary files\"/>
    </mc:Choice>
  </mc:AlternateContent>
  <xr:revisionPtr revIDLastSave="0" documentId="13_ncr:1_{C1B97507-0B6D-4346-8F5E-F8B970AE0E2F}" xr6:coauthVersionLast="47" xr6:coauthVersionMax="47" xr10:uidLastSave="{00000000-0000-0000-0000-000000000000}"/>
  <bookViews>
    <workbookView xWindow="28680" yWindow="-120" windowWidth="29040" windowHeight="17520" xr2:uid="{25D07A17-B249-458B-963A-FC5722B6E0BF}"/>
  </bookViews>
  <sheets>
    <sheet name="Rursee K ppm estim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1" l="1"/>
  <c r="F41" i="1"/>
  <c r="L42" i="1"/>
  <c r="E18" i="1"/>
  <c r="F18" i="1"/>
  <c r="G18" i="1"/>
  <c r="E19" i="1"/>
  <c r="F19" i="1"/>
  <c r="G19" i="1"/>
  <c r="E20" i="1"/>
  <c r="F20" i="1"/>
  <c r="G20" i="1"/>
  <c r="E21" i="1"/>
  <c r="F21" i="1"/>
  <c r="G21" i="1"/>
  <c r="E22" i="1"/>
  <c r="F22" i="1"/>
  <c r="G22" i="1"/>
  <c r="E23" i="1"/>
  <c r="F23" i="1"/>
  <c r="G23" i="1"/>
  <c r="E24" i="1"/>
  <c r="F24" i="1"/>
  <c r="G24" i="1"/>
  <c r="E25" i="1"/>
  <c r="F25" i="1"/>
  <c r="G25" i="1"/>
  <c r="D71" i="1"/>
  <c r="D73" i="1" l="1"/>
  <c r="C8" i="1"/>
  <c r="C6" i="1"/>
  <c r="J22" i="1" s="1"/>
  <c r="D6" i="1"/>
  <c r="K25" i="1" s="1"/>
  <c r="C7" i="1"/>
  <c r="H20" i="1" s="1"/>
  <c r="D7" i="1"/>
  <c r="I18" i="1" s="1"/>
  <c r="D9" i="1"/>
  <c r="C9" i="1"/>
  <c r="D8" i="1"/>
  <c r="D74" i="1"/>
  <c r="D75" i="1"/>
  <c r="N22" i="1" l="1"/>
  <c r="I23" i="1"/>
  <c r="M23" i="1" s="1"/>
  <c r="H25" i="1"/>
  <c r="L25" i="1" s="1"/>
  <c r="I22" i="1"/>
  <c r="M22" i="1" s="1"/>
  <c r="H18" i="1"/>
  <c r="L18" i="1" s="1"/>
  <c r="K22" i="1"/>
  <c r="O22" i="1" s="1"/>
  <c r="J19" i="1"/>
  <c r="N19" i="1" s="1"/>
  <c r="K19" i="1"/>
  <c r="O19" i="1" s="1"/>
  <c r="M18" i="1"/>
  <c r="K21" i="1"/>
  <c r="O21" i="1" s="1"/>
  <c r="E71" i="1" s="1"/>
  <c r="H23" i="1"/>
  <c r="L23" i="1" s="1"/>
  <c r="H22" i="1"/>
  <c r="L22" i="1" s="1"/>
  <c r="H21" i="1"/>
  <c r="L21" i="1" s="1"/>
  <c r="O25" i="1"/>
  <c r="J25" i="1"/>
  <c r="N25" i="1" s="1"/>
  <c r="I21" i="1"/>
  <c r="M21" i="1" s="1"/>
  <c r="G71" i="1" s="1"/>
  <c r="K20" i="1"/>
  <c r="O20" i="1" s="1"/>
  <c r="E74" i="1" s="1"/>
  <c r="K24" i="1"/>
  <c r="O24" i="1" s="1"/>
  <c r="K23" i="1"/>
  <c r="O23" i="1" s="1"/>
  <c r="K18" i="1"/>
  <c r="O18" i="1" s="1"/>
  <c r="H24" i="1"/>
  <c r="L24" i="1" s="1"/>
  <c r="I24" i="1"/>
  <c r="M24" i="1" s="1"/>
  <c r="I19" i="1"/>
  <c r="M19" i="1" s="1"/>
  <c r="L20" i="1"/>
  <c r="H74" i="1" s="1"/>
  <c r="J23" i="1"/>
  <c r="N23" i="1" s="1"/>
  <c r="J20" i="1"/>
  <c r="N20" i="1" s="1"/>
  <c r="F74" i="1" s="1"/>
  <c r="J24" i="1"/>
  <c r="N24" i="1" s="1"/>
  <c r="J21" i="1"/>
  <c r="N21" i="1" s="1"/>
  <c r="F71" i="1" s="1"/>
  <c r="J18" i="1"/>
  <c r="N18" i="1" s="1"/>
  <c r="H19" i="1"/>
  <c r="L19" i="1" s="1"/>
  <c r="I25" i="1"/>
  <c r="M25" i="1" s="1"/>
  <c r="I20" i="1"/>
  <c r="M20" i="1" s="1"/>
  <c r="G74" i="1" s="1"/>
  <c r="C11" i="1"/>
  <c r="K5" i="1" s="1"/>
  <c r="D11" i="1"/>
  <c r="C12" i="1"/>
  <c r="D12" i="1"/>
  <c r="H71" i="1" l="1"/>
  <c r="K7" i="1"/>
  <c r="I74" i="1" s="1"/>
  <c r="K8" i="1"/>
  <c r="I73" i="1" s="1"/>
  <c r="K11" i="1"/>
  <c r="F37" i="1" s="1"/>
  <c r="J37" i="1" s="1"/>
  <c r="D52" i="1" s="1"/>
  <c r="I52" i="1" s="1"/>
  <c r="M52" i="1" s="1"/>
  <c r="K12" i="1"/>
  <c r="F38" i="1" s="1"/>
  <c r="J38" i="1" s="1"/>
  <c r="D53" i="1" s="1"/>
  <c r="I53" i="1" s="1"/>
  <c r="M53" i="1" s="1"/>
  <c r="K9" i="1"/>
  <c r="F35" i="1" s="1"/>
  <c r="J35" i="1" s="1"/>
  <c r="D50" i="1" s="1"/>
  <c r="I50" i="1" s="1"/>
  <c r="M50" i="1" s="1"/>
  <c r="K6" i="1"/>
  <c r="F31" i="1"/>
  <c r="K10" i="1"/>
  <c r="F36" i="1" s="1"/>
  <c r="J36" i="1" s="1"/>
  <c r="D51" i="1" s="1"/>
  <c r="I51" i="1" s="1"/>
  <c r="M51" i="1" s="1"/>
  <c r="L12" i="1"/>
  <c r="G38" i="1" s="1"/>
  <c r="K38" i="1" s="1"/>
  <c r="E53" i="1" s="1"/>
  <c r="J53" i="1" s="1"/>
  <c r="N53" i="1" s="1"/>
  <c r="L9" i="1"/>
  <c r="G35" i="1" s="1"/>
  <c r="K35" i="1" s="1"/>
  <c r="E50" i="1" s="1"/>
  <c r="J50" i="1" s="1"/>
  <c r="N50" i="1" s="1"/>
  <c r="L5" i="1"/>
  <c r="G31" i="1" s="1"/>
  <c r="K31" i="1" s="1"/>
  <c r="E46" i="1" s="1"/>
  <c r="J46" i="1" s="1"/>
  <c r="N46" i="1" s="1"/>
  <c r="L6" i="1"/>
  <c r="G32" i="1" s="1"/>
  <c r="K32" i="1" s="1"/>
  <c r="E47" i="1" s="1"/>
  <c r="J47" i="1" s="1"/>
  <c r="N47" i="1" s="1"/>
  <c r="L11" i="1"/>
  <c r="G37" i="1" s="1"/>
  <c r="K37" i="1" s="1"/>
  <c r="E52" i="1" s="1"/>
  <c r="J52" i="1" s="1"/>
  <c r="N52" i="1" s="1"/>
  <c r="L7" i="1"/>
  <c r="G33" i="1" s="1"/>
  <c r="K33" i="1" s="1"/>
  <c r="E48" i="1" s="1"/>
  <c r="J48" i="1" s="1"/>
  <c r="N48" i="1" s="1"/>
  <c r="L8" i="1"/>
  <c r="G34" i="1" s="1"/>
  <c r="K34" i="1" s="1"/>
  <c r="E49" i="1" s="1"/>
  <c r="J49" i="1" s="1"/>
  <c r="N49" i="1" s="1"/>
  <c r="L10" i="1"/>
  <c r="G36" i="1" s="1"/>
  <c r="K36" i="1" s="1"/>
  <c r="E51" i="1" s="1"/>
  <c r="J51" i="1" s="1"/>
  <c r="N51" i="1" s="1"/>
  <c r="I12" i="1"/>
  <c r="D38" i="1" s="1"/>
  <c r="I5" i="1"/>
  <c r="D31" i="1" s="1"/>
  <c r="I6" i="1"/>
  <c r="D32" i="1" s="1"/>
  <c r="I7" i="1"/>
  <c r="I9" i="1"/>
  <c r="D35" i="1" s="1"/>
  <c r="I8" i="1"/>
  <c r="D34" i="1" s="1"/>
  <c r="I10" i="1"/>
  <c r="I11" i="1"/>
  <c r="D37" i="1" s="1"/>
  <c r="J12" i="1"/>
  <c r="E38" i="1" s="1"/>
  <c r="J5" i="1"/>
  <c r="E31" i="1" s="1"/>
  <c r="I31" i="1" s="1"/>
  <c r="C46" i="1" s="1"/>
  <c r="H46" i="1" s="1"/>
  <c r="L46" i="1" s="1"/>
  <c r="J9" i="1"/>
  <c r="E35" i="1" s="1"/>
  <c r="J6" i="1"/>
  <c r="E32" i="1" s="1"/>
  <c r="J7" i="1"/>
  <c r="J11" i="1"/>
  <c r="E37" i="1" s="1"/>
  <c r="J8" i="1"/>
  <c r="E34" i="1" s="1"/>
  <c r="J10" i="1"/>
  <c r="E36" i="1" s="1"/>
  <c r="I71" i="1" l="1"/>
  <c r="M71" i="1" s="1"/>
  <c r="I72" i="1"/>
  <c r="M72" i="1" s="1"/>
  <c r="D82" i="1" s="1"/>
  <c r="H82" i="1" s="1"/>
  <c r="L71" i="1"/>
  <c r="P71" i="1" s="1"/>
  <c r="G81" i="1" s="1"/>
  <c r="K81" i="1" s="1"/>
  <c r="K72" i="1"/>
  <c r="O72" i="1" s="1"/>
  <c r="I75" i="1"/>
  <c r="M75" i="1" s="1"/>
  <c r="D85" i="1" s="1"/>
  <c r="L72" i="1"/>
  <c r="P72" i="1" s="1"/>
  <c r="G82" i="1" s="1"/>
  <c r="K82" i="1" s="1"/>
  <c r="J72" i="1"/>
  <c r="N72" i="1" s="1"/>
  <c r="E82" i="1" s="1"/>
  <c r="J71" i="1"/>
  <c r="N71" i="1" s="1"/>
  <c r="J73" i="1"/>
  <c r="N73" i="1" s="1"/>
  <c r="E83" i="1" s="1"/>
  <c r="K74" i="1"/>
  <c r="O74" i="1" s="1"/>
  <c r="F84" i="1" s="1"/>
  <c r="J84" i="1" s="1"/>
  <c r="K75" i="1"/>
  <c r="O75" i="1" s="1"/>
  <c r="F85" i="1" s="1"/>
  <c r="L73" i="1"/>
  <c r="P73" i="1" s="1"/>
  <c r="G83" i="1" s="1"/>
  <c r="L75" i="1"/>
  <c r="P75" i="1" s="1"/>
  <c r="G85" i="1" s="1"/>
  <c r="L74" i="1"/>
  <c r="K71" i="1"/>
  <c r="O71" i="1" s="1"/>
  <c r="F81" i="1" s="1"/>
  <c r="J81" i="1" s="1"/>
  <c r="J74" i="1"/>
  <c r="N74" i="1" s="1"/>
  <c r="E84" i="1" s="1"/>
  <c r="I84" i="1" s="1"/>
  <c r="K73" i="1"/>
  <c r="O73" i="1" s="1"/>
  <c r="F83" i="1" s="1"/>
  <c r="J75" i="1"/>
  <c r="N75" i="1" s="1"/>
  <c r="E85" i="1" s="1"/>
  <c r="H31" i="1"/>
  <c r="B46" i="1" s="1"/>
  <c r="G46" i="1" s="1"/>
  <c r="K46" i="1" s="1"/>
  <c r="F33" i="1"/>
  <c r="J33" i="1" s="1"/>
  <c r="D48" i="1" s="1"/>
  <c r="I48" i="1" s="1"/>
  <c r="M48" i="1" s="1"/>
  <c r="F34" i="1"/>
  <c r="J34" i="1" s="1"/>
  <c r="D49" i="1" s="1"/>
  <c r="I49" i="1" s="1"/>
  <c r="M49" i="1" s="1"/>
  <c r="E33" i="1"/>
  <c r="I33" i="1" s="1"/>
  <c r="C48" i="1" s="1"/>
  <c r="H48" i="1" s="1"/>
  <c r="L48" i="1" s="1"/>
  <c r="D60" i="1" s="1"/>
  <c r="D33" i="1"/>
  <c r="H33" i="1" s="1"/>
  <c r="B48" i="1" s="1"/>
  <c r="G48" i="1" s="1"/>
  <c r="K48" i="1" s="1"/>
  <c r="C60" i="1" s="1"/>
  <c r="F32" i="1"/>
  <c r="J32" i="1" s="1"/>
  <c r="D47" i="1" s="1"/>
  <c r="I47" i="1" s="1"/>
  <c r="M47" i="1" s="1"/>
  <c r="M73" i="1"/>
  <c r="D83" i="1" s="1"/>
  <c r="H83" i="1" s="1"/>
  <c r="J31" i="1"/>
  <c r="D46" i="1" s="1"/>
  <c r="I46" i="1" s="1"/>
  <c r="M46" i="1" s="1"/>
  <c r="I38" i="1"/>
  <c r="C53" i="1" s="1"/>
  <c r="H53" i="1" s="1"/>
  <c r="L53" i="1" s="1"/>
  <c r="D65" i="1" s="1"/>
  <c r="H37" i="1"/>
  <c r="B52" i="1" s="1"/>
  <c r="G52" i="1" s="1"/>
  <c r="K52" i="1" s="1"/>
  <c r="C64" i="1" s="1"/>
  <c r="H32" i="1"/>
  <c r="B47" i="1" s="1"/>
  <c r="G47" i="1" s="1"/>
  <c r="K47" i="1" s="1"/>
  <c r="C59" i="1" s="1"/>
  <c r="I34" i="1"/>
  <c r="C49" i="1" s="1"/>
  <c r="H49" i="1" s="1"/>
  <c r="L49" i="1" s="1"/>
  <c r="D61" i="1" s="1"/>
  <c r="I36" i="1"/>
  <c r="C51" i="1" s="1"/>
  <c r="H51" i="1" s="1"/>
  <c r="L51" i="1" s="1"/>
  <c r="D63" i="1" s="1"/>
  <c r="I32" i="1"/>
  <c r="C47" i="1" s="1"/>
  <c r="H47" i="1" s="1"/>
  <c r="L47" i="1" s="1"/>
  <c r="D59" i="1" s="1"/>
  <c r="H35" i="1"/>
  <c r="B50" i="1" s="1"/>
  <c r="G50" i="1" s="1"/>
  <c r="K50" i="1" s="1"/>
  <c r="C62" i="1" s="1"/>
  <c r="D36" i="1"/>
  <c r="H36" i="1" s="1"/>
  <c r="B51" i="1" s="1"/>
  <c r="G51" i="1" s="1"/>
  <c r="K51" i="1" s="1"/>
  <c r="C63" i="1" s="1"/>
  <c r="M74" i="1"/>
  <c r="D84" i="1" s="1"/>
  <c r="H84" i="1" s="1"/>
  <c r="H34" i="1"/>
  <c r="B49" i="1" s="1"/>
  <c r="G49" i="1" s="1"/>
  <c r="K49" i="1" s="1"/>
  <c r="C61" i="1" s="1"/>
  <c r="I37" i="1"/>
  <c r="C52" i="1" s="1"/>
  <c r="H52" i="1" s="1"/>
  <c r="L52" i="1" s="1"/>
  <c r="D64" i="1" s="1"/>
  <c r="I35" i="1"/>
  <c r="C50" i="1" s="1"/>
  <c r="H50" i="1" s="1"/>
  <c r="L50" i="1" s="1"/>
  <c r="D62" i="1" s="1"/>
  <c r="B53" i="1"/>
  <c r="G53" i="1" s="1"/>
  <c r="K53" i="1" s="1"/>
  <c r="C65" i="1" s="1"/>
  <c r="J85" i="1" l="1"/>
  <c r="N85" i="1" s="1"/>
  <c r="J83" i="1"/>
  <c r="N83" i="1" s="1"/>
  <c r="I85" i="1"/>
  <c r="M85" i="1" s="1"/>
  <c r="I83" i="1"/>
  <c r="M83" i="1" s="1"/>
  <c r="K83" i="1"/>
  <c r="O83" i="1" s="1"/>
  <c r="K85" i="1"/>
  <c r="O85" i="1" s="1"/>
  <c r="H85" i="1"/>
  <c r="L85" i="1" s="1"/>
  <c r="I82" i="1"/>
  <c r="M82" i="1" s="1"/>
  <c r="F82" i="1"/>
  <c r="J82" i="1" s="1"/>
  <c r="N82" i="1" s="1"/>
  <c r="D81" i="1"/>
  <c r="O82" i="1"/>
  <c r="O81" i="1"/>
  <c r="N84" i="1"/>
  <c r="L82" i="1"/>
  <c r="L83" i="1"/>
  <c r="L84" i="1"/>
  <c r="M84" i="1"/>
  <c r="N81" i="1"/>
  <c r="E81" i="1"/>
  <c r="I81" i="1" s="1"/>
  <c r="P74" i="1"/>
  <c r="G84" i="1" s="1"/>
  <c r="K84" i="1" s="1"/>
  <c r="H81" i="1" l="1"/>
  <c r="L81" i="1" s="1"/>
  <c r="O84" i="1"/>
  <c r="M81" i="1"/>
</calcChain>
</file>

<file path=xl/sharedStrings.xml><?xml version="1.0" encoding="utf-8"?>
<sst xmlns="http://schemas.openxmlformats.org/spreadsheetml/2006/main" count="184" uniqueCount="81">
  <si>
    <t>AH2_06</t>
  </si>
  <si>
    <t>AH2_05</t>
  </si>
  <si>
    <t>Bedding Parallel Veins</t>
  </si>
  <si>
    <t>AH2.1_09</t>
  </si>
  <si>
    <t>AH2.1_07</t>
  </si>
  <si>
    <t>AH2.1_04</t>
  </si>
  <si>
    <t>Bedding Normal Veins</t>
  </si>
  <si>
    <t>max</t>
  </si>
  <si>
    <t>min</t>
  </si>
  <si>
    <t>K (ppm)</t>
  </si>
  <si>
    <t>Grain ID</t>
  </si>
  <si>
    <t>Estimation of K in crystal lattice of quartz grain of Rursee samples</t>
  </si>
  <si>
    <t>Total number of grain per analysis for cubic shape</t>
  </si>
  <si>
    <t>Total number of grain per analysis for spheric shape</t>
  </si>
  <si>
    <t>for max size</t>
  </si>
  <si>
    <t>for min size</t>
  </si>
  <si>
    <r>
      <t xml:space="preserve">Measurements of quartz grain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</si>
  <si>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t>Mass of the cubic grain (μg)</t>
  </si>
  <si>
    <t>Rursee 6 BPV</t>
  </si>
  <si>
    <t>Mass of the spheric grain (μg)</t>
  </si>
  <si>
    <t>Rursee 5 BNV</t>
  </si>
  <si>
    <t>Rursee 4 BPV</t>
  </si>
  <si>
    <r>
      <t>Volume of cube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</t>
    </r>
  </si>
  <si>
    <t>Rursee 3 BPV</t>
  </si>
  <si>
    <r>
      <t>Volume  of sphere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</t>
    </r>
  </si>
  <si>
    <t>Rursee 2.1 BNV</t>
  </si>
  <si>
    <r>
      <t>Surface of cube (μm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</si>
  <si>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t>Rursee 2 BPV</t>
  </si>
  <si>
    <r>
      <t>Surface of sphere (μm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</si>
  <si>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t>R (μm)</t>
  </si>
  <si>
    <t>Grain size (μm)</t>
  </si>
  <si>
    <t>For spheric shape quartz grains</t>
  </si>
  <si>
    <t>For cubic shape quartz grains</t>
  </si>
  <si>
    <t>One quartz grain parameter</t>
  </si>
  <si>
    <t>Estimated size of inclusion (μm)</t>
  </si>
  <si>
    <t>Sample ID</t>
  </si>
  <si>
    <r>
      <t>~Volume of mineral inclusion for one spheric quartz grain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</t>
    </r>
  </si>
  <si>
    <r>
      <t>~Volume of mineral inclusion one cubic quartz grain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</t>
    </r>
  </si>
  <si>
    <t>% of mineral inclusion surface for spheric surface</t>
  </si>
  <si>
    <t>% of mineral inclusion surface for cubic surface</t>
  </si>
  <si>
    <t>Estimation of % mineral inclusion in one grain</t>
  </si>
  <si>
    <t>Number of observed mineral inclusion in one single grain surface under EPMA</t>
  </si>
  <si>
    <r>
      <t>Total surface of mineral inclusion estimated in grain (μm</t>
    </r>
    <r>
      <rPr>
        <vertAlign val="superscript"/>
        <sz val="14"/>
        <color theme="1"/>
        <rFont val="Times New Roman"/>
        <family val="1"/>
      </rPr>
      <t>2</t>
    </r>
    <r>
      <rPr>
        <sz val="14"/>
        <color theme="1"/>
        <rFont val="Times New Roman"/>
        <family val="1"/>
      </rPr>
      <t>)</t>
    </r>
  </si>
  <si>
    <t>K (ppm) from EPMA</t>
  </si>
  <si>
    <r>
      <t>~Volume of one spheric grain without mineral inclusion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 (total grain volume - mineral inclusion volume)</t>
    </r>
  </si>
  <si>
    <r>
      <t>~Volume of one cubic grain without mineral inclusion (μm</t>
    </r>
    <r>
      <rPr>
        <vertAlign val="superscript"/>
        <sz val="14"/>
        <color theme="1"/>
        <rFont val="Times New Roman"/>
        <family val="1"/>
      </rPr>
      <t>3</t>
    </r>
    <r>
      <rPr>
        <sz val="14"/>
        <color theme="1"/>
        <rFont val="Times New Roman"/>
        <family val="1"/>
      </rPr>
      <t>) (total grain volume - mineral inclusion volume)</t>
    </r>
  </si>
  <si>
    <r>
      <t>Density g/cm</t>
    </r>
    <r>
      <rPr>
        <vertAlign val="superscript"/>
        <sz val="14"/>
        <color theme="1"/>
        <rFont val="Times New Roman"/>
        <family val="1"/>
      </rPr>
      <t>3</t>
    </r>
  </si>
  <si>
    <r>
      <t xml:space="preserve">Total accumulated estimation of K (μg) from mineral inclusion contribute to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</si>
  <si>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Total accumulated estimation of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 xml:space="preserve">K (μg) from mineral inclusion contribute to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</si>
  <si>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Estimated of K (μg) in total spheric quartz grain which involve for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</si>
  <si>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Estimated of K (μg) in total cubic quartz grain which involve for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</si>
  <si>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Estimated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 xml:space="preserve">K (μg) in total spheric quartz grain which involve for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</si>
  <si>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Estimated of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 xml:space="preserve">K (μg) in total cubic quartz grain which involve for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</si>
  <si>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t>sample amount (mg)</t>
  </si>
  <si>
    <t>Assume age in Ma of</t>
  </si>
  <si>
    <t>λ</t>
  </si>
  <si>
    <r>
      <t>λ</t>
    </r>
    <r>
      <rPr>
        <vertAlign val="subscript"/>
        <sz val="14"/>
        <color theme="1"/>
        <rFont val="Calibri"/>
        <family val="2"/>
      </rPr>
      <t>e</t>
    </r>
  </si>
  <si>
    <r>
      <t xml:space="preserve">Total accumulated estimation of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 xml:space="preserve">K (mol) from mineral inclusion contribute to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</si>
  <si>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t>40K</t>
  </si>
  <si>
    <r>
      <t>yr</t>
    </r>
    <r>
      <rPr>
        <vertAlign val="superscript"/>
        <sz val="11"/>
        <color theme="1"/>
        <rFont val="Times New Roman"/>
        <family val="1"/>
      </rPr>
      <t>-1</t>
    </r>
  </si>
  <si>
    <t>g/mol</t>
  </si>
  <si>
    <r>
      <t xml:space="preserve">Total accumulated estimation of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</t>
    </r>
    <r>
      <rPr>
        <vertAlign val="superscript"/>
        <sz val="14"/>
        <color theme="1"/>
        <rFont val="Times New Roman"/>
        <family val="1"/>
      </rPr>
      <t>*</t>
    </r>
    <r>
      <rPr>
        <sz val="14"/>
        <color theme="1"/>
        <rFont val="Times New Roman"/>
        <family val="1"/>
      </rPr>
      <t xml:space="preserve"> (mol) from mineral inclusion contribute to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</si>
  <si>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r>
      <t xml:space="preserve">Total accumulated estimation of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</t>
    </r>
    <r>
      <rPr>
        <vertAlign val="superscript"/>
        <sz val="14"/>
        <color theme="1"/>
        <rFont val="Times New Roman"/>
        <family val="1"/>
      </rPr>
      <t>*</t>
    </r>
    <r>
      <rPr>
        <sz val="14"/>
        <color theme="1"/>
        <rFont val="Times New Roman"/>
        <family val="1"/>
      </rPr>
      <t xml:space="preserve"> (fA) from mineral inclusion contribute to </t>
    </r>
    <r>
      <rPr>
        <vertAlign val="superscript"/>
        <sz val="14"/>
        <color theme="1"/>
        <rFont val="Times New Roman"/>
        <family val="1"/>
      </rPr>
      <t>40</t>
    </r>
    <r>
      <rPr>
        <sz val="14"/>
        <color theme="1"/>
        <rFont val="Times New Roman"/>
        <family val="1"/>
      </rPr>
      <t>Ar/</t>
    </r>
    <r>
      <rPr>
        <vertAlign val="superscript"/>
        <sz val="14"/>
        <color theme="1"/>
        <rFont val="Times New Roman"/>
        <family val="1"/>
      </rPr>
      <t>39</t>
    </r>
    <r>
      <rPr>
        <sz val="14"/>
        <color theme="1"/>
        <rFont val="Times New Roman"/>
        <family val="1"/>
      </rPr>
      <t>Ar analysis</t>
    </r>
  </si>
  <si>
    <t>sensitivity Helix</t>
  </si>
  <si>
    <t>mol/fA</t>
  </si>
  <si>
    <t>40* from experiment 20 and up fA</t>
  </si>
  <si>
    <t>Rursee 1b BNV</t>
  </si>
  <si>
    <t>sample amount (mg)*</t>
  </si>
  <si>
    <t>Rursee 1a BNV</t>
  </si>
  <si>
    <r>
      <t>sample amount (</t>
    </r>
    <r>
      <rPr>
        <sz val="14"/>
        <rFont val="Calibri"/>
        <family val="2"/>
      </rPr>
      <t>µ</t>
    </r>
    <r>
      <rPr>
        <sz val="14"/>
        <rFont val="Times New Roman"/>
        <family val="1"/>
      </rPr>
      <t>g)</t>
    </r>
  </si>
  <si>
    <t>Estimation</t>
  </si>
  <si>
    <t>Total accumulated estimation of 40K (mol) from crystal lattice contribute to 40Ar/39Ar analysis</t>
  </si>
  <si>
    <t>Total accumulated estimation of 40Ar* (mol) from crystal lattice contribute to 40Ar/39Ar analysis</t>
  </si>
  <si>
    <t>Total accumulated estimation of 40Ar* (fA) from crystal lattice contribute to 40Ar/39Ar analysis</t>
  </si>
  <si>
    <t>1)</t>
  </si>
  <si>
    <t>2)</t>
  </si>
  <si>
    <t>3)</t>
  </si>
  <si>
    <t>4)</t>
  </si>
  <si>
    <t>5)</t>
  </si>
  <si>
    <t>6)</t>
  </si>
  <si>
    <t>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</si>
</sst>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  <font>
      <sz val="20"/>
      <color theme="1"/>
      <name val="Times New Roman"/>
      <family val="1"/>
    </font>
    <font>
      <sz val="14"/>
      <color rgb="FFFF0000"/>
      <name val="Times New Roman"/>
      <family val="1"/>
    </font>
    <font>
      <sz val="14"/>
      <color theme="1"/>
      <name val="Calibri"/>
      <family val="2"/>
    </font>
    <font>
      <vertAlign val="subscript"/>
      <sz val="14"/>
      <color theme="1"/>
      <name val="Calibri"/>
      <family val="2"/>
    </font>
    <font>
      <sz val="11"/>
      <name val="Times New Roman"/>
      <family val="1"/>
    </font>
    <font>
      <vertAlign val="superscript"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4"/>
      <name val="Times New Roman"/>
      <family val="1"/>
    </font>
    <font>
      <sz val="14"/>
      <name val="Calibri"/>
      <family val="2"/>
    </font>
    <font>
      <b/>
      <sz val="2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1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11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4" borderId="11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1" fontId="1" fillId="0" borderId="17" xfId="0" applyNumberFormat="1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11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>
      <alignment vertical="center"/>
    </xf>
    <xf numFmtId="10" fontId="2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 wrapText="1"/>
    </xf>
    <xf numFmtId="11" fontId="2" fillId="0" borderId="1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9" xfId="0" applyNumberFormat="1" applyFont="1" applyBorder="1" applyAlignment="1">
      <alignment horizontal="center" vertical="center"/>
    </xf>
    <xf numFmtId="0" fontId="2" fillId="4" borderId="24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/>
    </xf>
    <xf numFmtId="0" fontId="2" fillId="4" borderId="25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C8936EFF-CEF1-4115-AE8E-4C9F7C7EDE7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209550</xdr:colOff>
          <xdr:row>54</xdr:row>
          <xdr:rowOff>238125</xdr:rowOff>
        </xdr:from>
        <xdr:to>
          <xdr:col>9</xdr:col>
          <xdr:colOff>781049</xdr:colOff>
          <xdr:row>61</xdr:row>
          <xdr:rowOff>166008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A7B23-D6CE-4983-89AA-C507142C349B}">
  <dimension ref="A1:U92"/>
  <sheetViews>
    <sheetView tabSelected="1" topLeftCell="A57" zoomScale="85" zoomScaleNormal="85" workbookViewId="0">
      <selection activeCell="J38" sqref="J38"/>
    </sheetView>
  </sheetViews>
  <sheetFormatPr defaultColWidth="9.140625" defaultRowHeight="15" x14ac:dyDescent="0.25"/>
  <cols>
    <col min="1" max="1" width="5" style="1" bestFit="1" customWidth="1"/>
    <col min="2" max="2" width="38.140625" style="1" bestFit="1" customWidth="1"/>
    <col min="3" max="3" width="27.5703125" style="1" customWidth="1"/>
    <col min="4" max="4" width="22.7109375" style="1" bestFit="1" customWidth="1"/>
    <col min="5" max="5" width="31" style="1" customWidth="1"/>
    <col min="6" max="6" width="20.7109375" style="1" bestFit="1" customWidth="1"/>
    <col min="7" max="7" width="12.42578125" style="1" bestFit="1" customWidth="1"/>
    <col min="8" max="8" width="24.85546875" style="1" customWidth="1"/>
    <col min="9" max="9" width="22.140625" style="1" customWidth="1"/>
    <col min="10" max="10" width="16.140625" style="1" bestFit="1" customWidth="1"/>
    <col min="11" max="11" width="23" style="1" customWidth="1"/>
    <col min="12" max="12" width="16.140625" style="1" bestFit="1" customWidth="1"/>
    <col min="13" max="13" width="29.5703125" style="1" customWidth="1"/>
    <col min="14" max="14" width="22" style="1" customWidth="1"/>
    <col min="15" max="15" width="26.140625" style="1" customWidth="1"/>
    <col min="16" max="16" width="12.5703125" style="1" bestFit="1" customWidth="1"/>
    <col min="17" max="17" width="24.85546875" style="1" customWidth="1"/>
    <col min="18" max="18" width="19.42578125" style="1" customWidth="1"/>
    <col min="19" max="19" width="18.28515625" style="1" customWidth="1"/>
    <col min="20" max="20" width="15.7109375" style="1" customWidth="1"/>
    <col min="21" max="21" width="19.140625" style="1" bestFit="1" customWidth="1"/>
    <col min="22" max="25" width="17.28515625" style="1" customWidth="1"/>
    <col min="26" max="29" width="15.85546875" style="1" customWidth="1"/>
    <col min="30" max="30" width="20.42578125" style="1" bestFit="1" customWidth="1"/>
    <col min="31" max="31" width="18.5703125" style="1" customWidth="1"/>
    <col min="32" max="33" width="20.28515625" style="1" customWidth="1"/>
    <col min="34" max="34" width="20.140625" style="1" customWidth="1"/>
    <col min="35" max="35" width="16.28515625" style="1" bestFit="1" customWidth="1"/>
    <col min="36" max="16384" width="9.140625" style="1"/>
  </cols>
  <sheetData>
    <row r="1" spans="1:15" ht="15.75" thickBot="1" x14ac:dyDescent="0.3"/>
    <row r="2" spans="1:15" ht="26.25" thickBot="1" x14ac:dyDescent="0.3">
      <c r="A2" s="76" t="s">
        <v>74</v>
      </c>
      <c r="B2" s="61" t="s">
        <v>33</v>
      </c>
      <c r="C2" s="62"/>
      <c r="D2" s="63"/>
      <c r="E2" s="76" t="s">
        <v>75</v>
      </c>
      <c r="F2" s="61" t="s">
        <v>16</v>
      </c>
      <c r="G2" s="62"/>
      <c r="H2" s="62"/>
      <c r="I2" s="62"/>
      <c r="J2" s="62"/>
      <c r="K2" s="62"/>
      <c r="L2" s="63"/>
    </row>
    <row r="3" spans="1:15" ht="44.25" customHeight="1" x14ac:dyDescent="0.25">
      <c r="C3" s="2" t="s">
        <v>8</v>
      </c>
      <c r="D3" s="2" t="s">
        <v>7</v>
      </c>
      <c r="I3" s="55" t="s">
        <v>12</v>
      </c>
      <c r="J3" s="55"/>
      <c r="K3" s="55" t="s">
        <v>13</v>
      </c>
      <c r="L3" s="55"/>
    </row>
    <row r="4" spans="1:15" ht="18.75" x14ac:dyDescent="0.25">
      <c r="B4" s="25" t="s">
        <v>30</v>
      </c>
      <c r="C4" s="9">
        <v>400</v>
      </c>
      <c r="D4" s="9">
        <v>500</v>
      </c>
      <c r="G4" s="54" t="s">
        <v>69</v>
      </c>
      <c r="H4" s="54"/>
      <c r="I4" s="4" t="s">
        <v>15</v>
      </c>
      <c r="J4" s="4" t="s">
        <v>14</v>
      </c>
      <c r="K4" s="4" t="s">
        <v>15</v>
      </c>
      <c r="L4" s="4" t="s">
        <v>14</v>
      </c>
    </row>
    <row r="5" spans="1:15" ht="18.75" x14ac:dyDescent="0.25">
      <c r="B5" s="25" t="s">
        <v>29</v>
      </c>
      <c r="C5" s="9">
        <v>200</v>
      </c>
      <c r="D5" s="9">
        <v>250</v>
      </c>
      <c r="F5" s="24" t="s">
        <v>68</v>
      </c>
      <c r="G5" s="65">
        <v>46000</v>
      </c>
      <c r="H5" s="66"/>
      <c r="I5" s="9">
        <f>G5/$C$12</f>
        <v>273.28897338403044</v>
      </c>
      <c r="J5" s="9">
        <f>G5/$D$12</f>
        <v>139.92395437262357</v>
      </c>
      <c r="K5" s="9">
        <f>G5/$C$11</f>
        <v>521.94349207893436</v>
      </c>
      <c r="L5" s="9">
        <f>G5/$D$11</f>
        <v>267.23506794441442</v>
      </c>
    </row>
    <row r="6" spans="1:15" ht="22.5" x14ac:dyDescent="0.25">
      <c r="B6" s="25" t="s">
        <v>28</v>
      </c>
      <c r="C6" s="9">
        <f>PI()*C5^2</f>
        <v>125663.70614359173</v>
      </c>
      <c r="D6" s="9">
        <f>PI()*D5^2</f>
        <v>196349.54084936206</v>
      </c>
      <c r="F6" s="24" t="s">
        <v>66</v>
      </c>
      <c r="G6" s="65">
        <v>23000</v>
      </c>
      <c r="H6" s="66"/>
      <c r="I6" s="9">
        <f>G6/$C$12</f>
        <v>136.64448669201522</v>
      </c>
      <c r="J6" s="9">
        <f>G6/$D$12</f>
        <v>69.961977186311785</v>
      </c>
      <c r="K6" s="9">
        <f>G6/$C$11</f>
        <v>260.97174603946718</v>
      </c>
      <c r="L6" s="9">
        <f>G6/$D$11</f>
        <v>133.61753397220721</v>
      </c>
    </row>
    <row r="7" spans="1:15" ht="22.5" x14ac:dyDescent="0.25">
      <c r="B7" s="25" t="s">
        <v>26</v>
      </c>
      <c r="C7" s="9">
        <f>C4^2</f>
        <v>160000</v>
      </c>
      <c r="D7" s="9">
        <f>D4^2</f>
        <v>250000</v>
      </c>
      <c r="F7" s="24" t="s">
        <v>27</v>
      </c>
      <c r="G7" s="65">
        <v>30000</v>
      </c>
      <c r="H7" s="66"/>
      <c r="I7" s="9">
        <f>G7/$C$12</f>
        <v>178.23193916349811</v>
      </c>
      <c r="J7" s="9">
        <f>G7/$D$12</f>
        <v>91.254752851711032</v>
      </c>
      <c r="K7" s="9">
        <f>G7/$C$11</f>
        <v>340.39792961669633</v>
      </c>
      <c r="L7" s="9">
        <f>G7/$D$11</f>
        <v>174.28373996374856</v>
      </c>
    </row>
    <row r="8" spans="1:15" ht="22.5" x14ac:dyDescent="0.25">
      <c r="B8" s="25" t="s">
        <v>24</v>
      </c>
      <c r="C8" s="9">
        <f>(4/3)*PI()*C5^3</f>
        <v>33510321.638291124</v>
      </c>
      <c r="D8" s="9">
        <f>(4/3)*PI()*D5^3</f>
        <v>65449846.949787349</v>
      </c>
      <c r="F8" s="24" t="s">
        <v>25</v>
      </c>
      <c r="G8" s="65">
        <v>22000</v>
      </c>
      <c r="H8" s="66"/>
      <c r="I8" s="9">
        <f>G8/$C$12</f>
        <v>130.70342205323195</v>
      </c>
      <c r="J8" s="9">
        <f>G8/$D$12</f>
        <v>66.920152091254749</v>
      </c>
      <c r="K8" s="9">
        <f>G8/$C$11</f>
        <v>249.62514838557732</v>
      </c>
      <c r="L8" s="9">
        <f>G8/$D$11</f>
        <v>127.8080759734156</v>
      </c>
    </row>
    <row r="9" spans="1:15" ht="22.5" x14ac:dyDescent="0.25">
      <c r="B9" s="25" t="s">
        <v>22</v>
      </c>
      <c r="C9" s="9">
        <f>C4^3</f>
        <v>64000000</v>
      </c>
      <c r="D9" s="9">
        <f>D4^3</f>
        <v>125000000</v>
      </c>
      <c r="F9" s="24" t="s">
        <v>23</v>
      </c>
      <c r="G9" s="65">
        <v>30000</v>
      </c>
      <c r="H9" s="66"/>
      <c r="I9" s="9">
        <f>G9/$C$12</f>
        <v>178.23193916349811</v>
      </c>
      <c r="J9" s="9">
        <f>G9/$D$12</f>
        <v>91.254752851711032</v>
      </c>
      <c r="K9" s="9">
        <f>G9/$C$11</f>
        <v>340.39792961669633</v>
      </c>
      <c r="L9" s="9">
        <f>G9/$D$11</f>
        <v>174.28373996374856</v>
      </c>
    </row>
    <row r="10" spans="1:15" ht="22.5" x14ac:dyDescent="0.25">
      <c r="B10" s="25" t="s">
        <v>46</v>
      </c>
      <c r="C10" s="6">
        <v>2.63</v>
      </c>
      <c r="D10" s="6">
        <v>2.63</v>
      </c>
      <c r="F10" s="24" t="s">
        <v>21</v>
      </c>
      <c r="G10" s="65">
        <v>31000</v>
      </c>
      <c r="H10" s="66"/>
      <c r="I10" s="9">
        <f>G10/$C$12</f>
        <v>184.17300380228139</v>
      </c>
      <c r="J10" s="9">
        <f>G10/$D$12</f>
        <v>94.296577946768068</v>
      </c>
      <c r="K10" s="9">
        <f>G10/$C$11</f>
        <v>351.74452727058622</v>
      </c>
      <c r="L10" s="9">
        <f>G10/$D$11</f>
        <v>180.09319796254016</v>
      </c>
    </row>
    <row r="11" spans="1:15" ht="18.75" x14ac:dyDescent="0.25">
      <c r="B11" s="25" t="s">
        <v>19</v>
      </c>
      <c r="C11" s="9">
        <f>C10*C8*10^-6</f>
        <v>88.132145908705652</v>
      </c>
      <c r="D11" s="9">
        <f>D10*D8*10^-6</f>
        <v>172.13309747794071</v>
      </c>
      <c r="F11" s="24" t="s">
        <v>20</v>
      </c>
      <c r="G11" s="65">
        <v>32000</v>
      </c>
      <c r="H11" s="66"/>
      <c r="I11" s="9">
        <f>G11/$C$12</f>
        <v>190.11406844106466</v>
      </c>
      <c r="J11" s="9">
        <f>G11/$D$12</f>
        <v>97.338403041825089</v>
      </c>
      <c r="K11" s="9">
        <f>G11/$C$11</f>
        <v>363.09112492447611</v>
      </c>
      <c r="L11" s="9">
        <f>G11/$D$11</f>
        <v>185.90265596133179</v>
      </c>
    </row>
    <row r="12" spans="1:15" ht="18.75" x14ac:dyDescent="0.25">
      <c r="B12" s="25" t="s">
        <v>17</v>
      </c>
      <c r="C12" s="9">
        <f>C10*C9*10^-6</f>
        <v>168.32</v>
      </c>
      <c r="D12" s="9">
        <f>D10*D9*10^-6</f>
        <v>328.75</v>
      </c>
      <c r="F12" s="24" t="s">
        <v>18</v>
      </c>
      <c r="G12" s="65">
        <v>35000</v>
      </c>
      <c r="H12" s="66"/>
      <c r="I12" s="9">
        <f>G12/$C$12</f>
        <v>207.93726235741445</v>
      </c>
      <c r="J12" s="9">
        <f>G12/$D$12</f>
        <v>106.46387832699619</v>
      </c>
      <c r="K12" s="9">
        <f>G12/$C$11</f>
        <v>397.13091788614577</v>
      </c>
      <c r="L12" s="9">
        <f>G12/$D$11</f>
        <v>203.33102995770665</v>
      </c>
    </row>
    <row r="14" spans="1:15" ht="15.75" thickBot="1" x14ac:dyDescent="0.3"/>
    <row r="15" spans="1:15" ht="27" thickBot="1" x14ac:dyDescent="0.3">
      <c r="A15" s="76" t="s">
        <v>76</v>
      </c>
      <c r="B15" s="49" t="s">
        <v>40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</row>
    <row r="16" spans="1:15" ht="54.75" customHeight="1" x14ac:dyDescent="0.25">
      <c r="B16" s="2"/>
      <c r="C16" s="2"/>
      <c r="D16" s="2"/>
      <c r="E16" s="2"/>
      <c r="F16" s="69" t="s">
        <v>43</v>
      </c>
      <c r="G16" s="70"/>
      <c r="H16" s="67" t="s">
        <v>39</v>
      </c>
      <c r="I16" s="68"/>
      <c r="J16" s="67" t="s">
        <v>38</v>
      </c>
      <c r="K16" s="68"/>
      <c r="L16" s="67" t="s">
        <v>37</v>
      </c>
      <c r="M16" s="68"/>
      <c r="N16" s="67" t="s">
        <v>36</v>
      </c>
      <c r="O16" s="68"/>
    </row>
    <row r="17" spans="1:15" ht="78.75" customHeight="1" x14ac:dyDescent="0.25">
      <c r="B17" s="12" t="s">
        <v>35</v>
      </c>
      <c r="C17" s="11" t="s">
        <v>41</v>
      </c>
      <c r="D17" s="11" t="s">
        <v>34</v>
      </c>
      <c r="E17" s="11" t="s">
        <v>42</v>
      </c>
      <c r="F17" s="2" t="s">
        <v>8</v>
      </c>
      <c r="G17" s="2" t="s">
        <v>7</v>
      </c>
      <c r="H17" s="2" t="s">
        <v>7</v>
      </c>
      <c r="I17" s="2" t="s">
        <v>8</v>
      </c>
      <c r="J17" s="2" t="s">
        <v>7</v>
      </c>
      <c r="K17" s="2" t="s">
        <v>8</v>
      </c>
      <c r="L17" s="2" t="s">
        <v>8</v>
      </c>
      <c r="M17" s="2" t="s">
        <v>7</v>
      </c>
      <c r="N17" s="2" t="s">
        <v>8</v>
      </c>
      <c r="O17" s="2" t="s">
        <v>7</v>
      </c>
    </row>
    <row r="18" spans="1:15" ht="18.75" x14ac:dyDescent="0.25">
      <c r="B18" s="10" t="s">
        <v>68</v>
      </c>
      <c r="C18" s="4">
        <v>10</v>
      </c>
      <c r="D18" s="4">
        <v>10</v>
      </c>
      <c r="E18" s="4">
        <f t="shared" ref="E18:E25" si="0">D18*D18*C18</f>
        <v>1000</v>
      </c>
      <c r="F18" s="4">
        <f>0.4*10000</f>
        <v>4000</v>
      </c>
      <c r="G18" s="4">
        <f>2.8*10000</f>
        <v>28000</v>
      </c>
      <c r="H18" s="44">
        <f>E18/$C$7</f>
        <v>6.2500000000000003E-3</v>
      </c>
      <c r="I18" s="44">
        <f>E18/$D$7</f>
        <v>4.0000000000000001E-3</v>
      </c>
      <c r="J18" s="44">
        <f>E18/$C$6</f>
        <v>7.9577471545947669E-3</v>
      </c>
      <c r="K18" s="44">
        <f>E18/$D$6</f>
        <v>5.0929581789406512E-3</v>
      </c>
      <c r="L18" s="5">
        <f>$C$9*H18</f>
        <v>400000</v>
      </c>
      <c r="M18" s="5">
        <f>$D$9*I18</f>
        <v>500000</v>
      </c>
      <c r="N18" s="5">
        <f>$C$8*J18</f>
        <v>266666.66666666663</v>
      </c>
      <c r="O18" s="5">
        <f>$D$8*K18</f>
        <v>333333.33333333331</v>
      </c>
    </row>
    <row r="19" spans="1:15" ht="18.75" x14ac:dyDescent="0.25">
      <c r="B19" s="10" t="s">
        <v>66</v>
      </c>
      <c r="C19" s="4">
        <v>10</v>
      </c>
      <c r="D19" s="4">
        <v>10</v>
      </c>
      <c r="E19" s="4">
        <f t="shared" si="0"/>
        <v>1000</v>
      </c>
      <c r="F19" s="4">
        <f>0.4*10000</f>
        <v>4000</v>
      </c>
      <c r="G19" s="4">
        <f>2.8*10000</f>
        <v>28000</v>
      </c>
      <c r="H19" s="44">
        <f>E19/$C$7</f>
        <v>6.2500000000000003E-3</v>
      </c>
      <c r="I19" s="44">
        <f>E19/$D$7</f>
        <v>4.0000000000000001E-3</v>
      </c>
      <c r="J19" s="44">
        <f>E19/$C$6</f>
        <v>7.9577471545947669E-3</v>
      </c>
      <c r="K19" s="44">
        <f>E19/$D$6</f>
        <v>5.0929581789406512E-3</v>
      </c>
      <c r="L19" s="5">
        <f>$C$9*H19</f>
        <v>400000</v>
      </c>
      <c r="M19" s="5">
        <f>$D$9*I19</f>
        <v>500000</v>
      </c>
      <c r="N19" s="5">
        <f>$C$8*J19</f>
        <v>266666.66666666663</v>
      </c>
      <c r="O19" s="5">
        <f>$D$8*K19</f>
        <v>333333.33333333331</v>
      </c>
    </row>
    <row r="20" spans="1:15" ht="18.75" x14ac:dyDescent="0.25">
      <c r="B20" s="10" t="s">
        <v>27</v>
      </c>
      <c r="C20" s="4">
        <v>8</v>
      </c>
      <c r="D20" s="4">
        <v>20</v>
      </c>
      <c r="E20" s="4">
        <f t="shared" si="0"/>
        <v>3200</v>
      </c>
      <c r="F20" s="4">
        <f>0.01*10000</f>
        <v>100</v>
      </c>
      <c r="G20" s="4">
        <f>0.5*10000</f>
        <v>5000</v>
      </c>
      <c r="H20" s="44">
        <f>E20/$C$7</f>
        <v>0.02</v>
      </c>
      <c r="I20" s="44">
        <f>E20/$D$7</f>
        <v>1.2800000000000001E-2</v>
      </c>
      <c r="J20" s="44">
        <f>E20/$C$6</f>
        <v>2.5464790894703253E-2</v>
      </c>
      <c r="K20" s="44">
        <f>E20/$D$6</f>
        <v>1.6297466172610083E-2</v>
      </c>
      <c r="L20" s="5">
        <f>$C$9*H20</f>
        <v>1280000</v>
      </c>
      <c r="M20" s="5">
        <f>$D$9*I20</f>
        <v>1600000</v>
      </c>
      <c r="N20" s="5">
        <f>$C$8*J20</f>
        <v>853333.33333333326</v>
      </c>
      <c r="O20" s="5">
        <f>$D$8*K20</f>
        <v>1066666.6666666665</v>
      </c>
    </row>
    <row r="21" spans="1:15" ht="18.75" x14ac:dyDescent="0.25">
      <c r="B21" s="10" t="s">
        <v>25</v>
      </c>
      <c r="C21" s="4">
        <v>6</v>
      </c>
      <c r="D21" s="4">
        <v>10</v>
      </c>
      <c r="E21" s="4">
        <f t="shared" si="0"/>
        <v>600</v>
      </c>
      <c r="F21" s="4">
        <f>0.01*10000</f>
        <v>100</v>
      </c>
      <c r="G21" s="4">
        <f>2.8*10000</f>
        <v>28000</v>
      </c>
      <c r="H21" s="44">
        <f>E21/$C$7</f>
        <v>3.7499999999999999E-3</v>
      </c>
      <c r="I21" s="44">
        <f>E21/$D$7</f>
        <v>2.3999999999999998E-3</v>
      </c>
      <c r="J21" s="44">
        <f>E21/$C$6</f>
        <v>4.7746482927568598E-3</v>
      </c>
      <c r="K21" s="44">
        <f>E21/$D$6</f>
        <v>3.0557749073643905E-3</v>
      </c>
      <c r="L21" s="5">
        <f>$C$9*H21</f>
        <v>240000</v>
      </c>
      <c r="M21" s="5">
        <f>$D$9*I21</f>
        <v>300000</v>
      </c>
      <c r="N21" s="5">
        <f>$C$8*J21</f>
        <v>159999.99999999997</v>
      </c>
      <c r="O21" s="5">
        <f>$D$8*K21</f>
        <v>199999.99999999997</v>
      </c>
    </row>
    <row r="22" spans="1:15" ht="18.75" x14ac:dyDescent="0.25">
      <c r="B22" s="10" t="s">
        <v>23</v>
      </c>
      <c r="C22" s="4">
        <v>30</v>
      </c>
      <c r="D22" s="4">
        <v>5</v>
      </c>
      <c r="E22" s="4">
        <f t="shared" si="0"/>
        <v>750</v>
      </c>
      <c r="F22" s="4">
        <f>0.1*10000</f>
        <v>1000</v>
      </c>
      <c r="G22" s="4">
        <f>1.5*10000</f>
        <v>15000</v>
      </c>
      <c r="H22" s="44">
        <f>E22/$C$7</f>
        <v>4.6874999999999998E-3</v>
      </c>
      <c r="I22" s="44">
        <f>E22/$D$7</f>
        <v>3.0000000000000001E-3</v>
      </c>
      <c r="J22" s="44">
        <f>E22/$C$6</f>
        <v>5.9683103659460748E-3</v>
      </c>
      <c r="K22" s="44">
        <f>E22/$D$6</f>
        <v>3.8197186342054882E-3</v>
      </c>
      <c r="L22" s="5">
        <f>$C$9*H22</f>
        <v>300000</v>
      </c>
      <c r="M22" s="5">
        <f>$D$9*I22</f>
        <v>375000</v>
      </c>
      <c r="N22" s="5">
        <f>$C$8*J22</f>
        <v>199999.99999999997</v>
      </c>
      <c r="O22" s="5">
        <f>$D$8*K22</f>
        <v>249999.99999999997</v>
      </c>
    </row>
    <row r="23" spans="1:15" ht="18.75" x14ac:dyDescent="0.25">
      <c r="B23" s="10" t="s">
        <v>21</v>
      </c>
      <c r="C23" s="4">
        <v>4</v>
      </c>
      <c r="D23" s="4">
        <v>10</v>
      </c>
      <c r="E23" s="4">
        <f t="shared" si="0"/>
        <v>400</v>
      </c>
      <c r="F23" s="4">
        <f>0.01*10000</f>
        <v>100</v>
      </c>
      <c r="G23" s="4">
        <f>1.3*10000</f>
        <v>13000</v>
      </c>
      <c r="H23" s="44">
        <f>E23/$C$7</f>
        <v>2.5000000000000001E-3</v>
      </c>
      <c r="I23" s="44">
        <f>E23/$D$7</f>
        <v>1.6000000000000001E-3</v>
      </c>
      <c r="J23" s="44">
        <f>E23/$C$6</f>
        <v>3.1830988618379067E-3</v>
      </c>
      <c r="K23" s="44">
        <f>E23/$D$6</f>
        <v>2.0371832715762603E-3</v>
      </c>
      <c r="L23" s="5">
        <f>$C$9*H23</f>
        <v>160000</v>
      </c>
      <c r="M23" s="5">
        <f>$D$9*I23</f>
        <v>200000</v>
      </c>
      <c r="N23" s="5">
        <f>$C$8*J23</f>
        <v>106666.66666666666</v>
      </c>
      <c r="O23" s="5">
        <f>$D$8*K23</f>
        <v>133333.33333333331</v>
      </c>
    </row>
    <row r="24" spans="1:15" ht="18.75" x14ac:dyDescent="0.25">
      <c r="B24" s="10" t="s">
        <v>20</v>
      </c>
      <c r="C24" s="4">
        <v>2</v>
      </c>
      <c r="D24" s="4">
        <v>50</v>
      </c>
      <c r="E24" s="4">
        <f t="shared" si="0"/>
        <v>5000</v>
      </c>
      <c r="F24" s="4">
        <f>0.4*10000</f>
        <v>4000</v>
      </c>
      <c r="G24" s="4">
        <f>7.5*10000</f>
        <v>75000</v>
      </c>
      <c r="H24" s="44">
        <f>E24/$C$7</f>
        <v>3.125E-2</v>
      </c>
      <c r="I24" s="44">
        <f>E24/$D$7</f>
        <v>0.02</v>
      </c>
      <c r="J24" s="44">
        <f>E24/$C$6</f>
        <v>3.9788735772973836E-2</v>
      </c>
      <c r="K24" s="44">
        <f>E24/$D$6</f>
        <v>2.5464790894703257E-2</v>
      </c>
      <c r="L24" s="5">
        <f>$C$9*H24</f>
        <v>2000000</v>
      </c>
      <c r="M24" s="5">
        <f>$D$9*I24</f>
        <v>2500000</v>
      </c>
      <c r="N24" s="5">
        <f>$C$8*J24</f>
        <v>1333333.3333333333</v>
      </c>
      <c r="O24" s="5">
        <f>$D$8*K24</f>
        <v>1666666.6666666665</v>
      </c>
    </row>
    <row r="25" spans="1:15" ht="18.75" x14ac:dyDescent="0.25">
      <c r="B25" s="10" t="s">
        <v>18</v>
      </c>
      <c r="C25" s="4">
        <v>6</v>
      </c>
      <c r="D25" s="4">
        <v>10</v>
      </c>
      <c r="E25" s="4">
        <f t="shared" si="0"/>
        <v>600</v>
      </c>
      <c r="F25" s="4">
        <f>0.02*10000</f>
        <v>200</v>
      </c>
      <c r="G25" s="4">
        <f>2*10000</f>
        <v>20000</v>
      </c>
      <c r="H25" s="44">
        <f>E25/$C$7</f>
        <v>3.7499999999999999E-3</v>
      </c>
      <c r="I25" s="44">
        <f>E25/$D$7</f>
        <v>2.3999999999999998E-3</v>
      </c>
      <c r="J25" s="44">
        <f>E25/$C$6</f>
        <v>4.7746482927568598E-3</v>
      </c>
      <c r="K25" s="44">
        <f>E25/$D$6</f>
        <v>3.0557749073643905E-3</v>
      </c>
      <c r="L25" s="5">
        <f>$C$9*H25</f>
        <v>240000</v>
      </c>
      <c r="M25" s="5">
        <f>$D$9*I25</f>
        <v>300000</v>
      </c>
      <c r="N25" s="5">
        <f>$C$8*J25</f>
        <v>159999.99999999997</v>
      </c>
      <c r="O25" s="5">
        <f>$D$8*K25</f>
        <v>199999.99999999997</v>
      </c>
    </row>
    <row r="27" spans="1:15" ht="15.75" thickBot="1" x14ac:dyDescent="0.3"/>
    <row r="28" spans="1:15" ht="53.25" customHeight="1" thickBot="1" x14ac:dyDescent="0.3">
      <c r="A28" s="76" t="s">
        <v>77</v>
      </c>
      <c r="B28" s="2"/>
      <c r="D28" s="57" t="s">
        <v>47</v>
      </c>
      <c r="E28" s="58"/>
      <c r="F28" s="58"/>
      <c r="G28" s="59"/>
      <c r="H28" s="57" t="s">
        <v>48</v>
      </c>
      <c r="I28" s="58"/>
      <c r="J28" s="58"/>
      <c r="K28" s="59"/>
    </row>
    <row r="29" spans="1:15" ht="36.75" customHeight="1" x14ac:dyDescent="0.25">
      <c r="B29" s="2"/>
      <c r="D29" s="64" t="s">
        <v>32</v>
      </c>
      <c r="E29" s="64"/>
      <c r="F29" s="64" t="s">
        <v>31</v>
      </c>
      <c r="G29" s="64"/>
      <c r="H29" s="64" t="s">
        <v>32</v>
      </c>
      <c r="I29" s="64"/>
      <c r="J29" s="64" t="s">
        <v>31</v>
      </c>
      <c r="K29" s="64"/>
    </row>
    <row r="30" spans="1:15" ht="18.75" x14ac:dyDescent="0.25">
      <c r="B30" s="2"/>
      <c r="C30" s="45" t="s">
        <v>53</v>
      </c>
      <c r="D30" s="4" t="s">
        <v>8</v>
      </c>
      <c r="E30" s="4" t="s">
        <v>7</v>
      </c>
      <c r="F30" s="4" t="s">
        <v>8</v>
      </c>
      <c r="G30" s="4" t="s">
        <v>7</v>
      </c>
      <c r="H30" s="4" t="s">
        <v>8</v>
      </c>
      <c r="I30" s="4" t="s">
        <v>7</v>
      </c>
      <c r="J30" s="4" t="s">
        <v>8</v>
      </c>
      <c r="K30" s="4" t="s">
        <v>7</v>
      </c>
    </row>
    <row r="31" spans="1:15" ht="18.75" x14ac:dyDescent="0.25">
      <c r="B31" s="10" t="s">
        <v>68</v>
      </c>
      <c r="C31" s="45">
        <v>46</v>
      </c>
      <c r="D31" s="6">
        <f>$C$10*10^-12*L18*I5*1000*1000*F18*10^-6</f>
        <v>1.1500000000000001</v>
      </c>
      <c r="E31" s="6">
        <f>$C$10*10^-12*M18*J5*1000*G18*10^-6*1000</f>
        <v>5.1519999999999984</v>
      </c>
      <c r="F31" s="6">
        <f>$C$10*10^-12*N18*K5*1000*F18*10^-6*1000</f>
        <v>1.464225476445437</v>
      </c>
      <c r="G31" s="6">
        <f>$C$10*10^-12*O18*L5*1000*G18*10^-6*1000</f>
        <v>6.5597301344755596</v>
      </c>
      <c r="H31" s="13">
        <f>D31*0.012</f>
        <v>1.3800000000000002E-2</v>
      </c>
      <c r="I31" s="13">
        <f>E31*0.012</f>
        <v>6.1823999999999983E-2</v>
      </c>
      <c r="J31" s="13">
        <f>F31*0.012</f>
        <v>1.7570705717345245E-2</v>
      </c>
      <c r="K31" s="13">
        <f>G31*0.012</f>
        <v>7.8716761613706721E-2</v>
      </c>
    </row>
    <row r="32" spans="1:15" ht="18.75" x14ac:dyDescent="0.25">
      <c r="B32" s="10" t="s">
        <v>66</v>
      </c>
      <c r="C32" s="45">
        <v>25</v>
      </c>
      <c r="D32" s="6">
        <f>$C$10*10^-12*L19*I6*1000*1000*F19*10^-6</f>
        <v>0.57500000000000007</v>
      </c>
      <c r="E32" s="6">
        <f>$C$10*10^-12*M19*J6*1000*G19*10^-6*1000</f>
        <v>2.5759999999999992</v>
      </c>
      <c r="F32" s="6">
        <f>$C$10*10^-12*N19*K6*1000*F19*10^-6*1000</f>
        <v>0.7321127382227185</v>
      </c>
      <c r="G32" s="6">
        <f>$C$10*10^-12*O19*L6*1000*G19*10^-6*1000</f>
        <v>3.2798650672377798</v>
      </c>
      <c r="H32" s="13">
        <f>D32*0.012</f>
        <v>6.9000000000000008E-3</v>
      </c>
      <c r="I32" s="13">
        <f>E32*0.012</f>
        <v>3.0911999999999992E-2</v>
      </c>
      <c r="J32" s="13">
        <f>F32*0.012</f>
        <v>8.7853528586726223E-3</v>
      </c>
      <c r="K32" s="13">
        <f>G32*0.012</f>
        <v>3.935838080685336E-2</v>
      </c>
    </row>
    <row r="33" spans="1:21" ht="18.75" x14ac:dyDescent="0.25">
      <c r="B33" s="10" t="s">
        <v>27</v>
      </c>
      <c r="C33" s="45">
        <v>30</v>
      </c>
      <c r="D33" s="6">
        <f>$C$10*10^-12*L20*I7*1000*1000*F20*10^-6</f>
        <v>6.0000000000000012E-2</v>
      </c>
      <c r="E33" s="6">
        <f>$C$10*10^-12*M20*J7*1000*G20*10^-6*1000</f>
        <v>1.9200000000000002</v>
      </c>
      <c r="F33" s="6">
        <f>$C$10*10^-12*N20*K7*1000*F20*10^-6*1000</f>
        <v>7.6394372684109757E-2</v>
      </c>
      <c r="G33" s="6">
        <f>$C$10*10^-12*O20*L7*1000*G20*10^-6*1000</f>
        <v>2.4446199258915127</v>
      </c>
      <c r="H33" s="13">
        <f>D33*0.012</f>
        <v>7.2000000000000015E-4</v>
      </c>
      <c r="I33" s="13">
        <f>E33*0.012</f>
        <v>2.3040000000000001E-2</v>
      </c>
      <c r="J33" s="13">
        <f>F33*0.012</f>
        <v>9.1673247220931708E-4</v>
      </c>
      <c r="K33" s="13">
        <f>G33*0.012</f>
        <v>2.9335439110698153E-2</v>
      </c>
    </row>
    <row r="34" spans="1:21" ht="18.75" x14ac:dyDescent="0.25">
      <c r="B34" s="10" t="s">
        <v>25</v>
      </c>
      <c r="C34" s="45">
        <v>22</v>
      </c>
      <c r="D34" s="6">
        <f>$C$10*10^-12*L21*I8*1000*1000*F21*10^-6</f>
        <v>8.2500000000000004E-3</v>
      </c>
      <c r="E34" s="6">
        <f>$C$10*10^-12*M21*J8*1000*G21*10^-6*1000</f>
        <v>1.4783999999999997</v>
      </c>
      <c r="F34" s="6">
        <f>$C$10*10^-12*N21*K8*1000*F21*10^-6*1000</f>
        <v>1.0504226244065091E-2</v>
      </c>
      <c r="G34" s="6">
        <f>$C$10*10^-12*O21*L8*1000*G21*10^-6*1000</f>
        <v>1.8823573429364646</v>
      </c>
      <c r="H34" s="13">
        <f>D34*0.012</f>
        <v>9.9000000000000008E-5</v>
      </c>
      <c r="I34" s="13">
        <f>E34*0.012</f>
        <v>1.7740799999999998E-2</v>
      </c>
      <c r="J34" s="13">
        <f>F34*0.012</f>
        <v>1.2605071492878111E-4</v>
      </c>
      <c r="K34" s="13">
        <f>G34*0.012</f>
        <v>2.2588288115237574E-2</v>
      </c>
    </row>
    <row r="35" spans="1:21" ht="18.75" x14ac:dyDescent="0.25">
      <c r="B35" s="10" t="s">
        <v>23</v>
      </c>
      <c r="C35" s="45">
        <v>30</v>
      </c>
      <c r="D35" s="6">
        <f>$C$10*10^-12*L22*I9*1000*1000*F22*10^-6</f>
        <v>0.14062500000000003</v>
      </c>
      <c r="E35" s="6">
        <f>$C$10*10^-12*M22*J9*1000*G22*10^-6*1000</f>
        <v>1.3499999999999999</v>
      </c>
      <c r="F35" s="6">
        <f>$C$10*10^-12*N22*K9*1000*F22*10^-6*1000</f>
        <v>0.17904931097838223</v>
      </c>
      <c r="G35" s="6">
        <f>$C$10*10^-12*O22*L9*1000*G22*10^-6*1000</f>
        <v>1.7188733853924698</v>
      </c>
      <c r="H35" s="13">
        <f>D35*0.012</f>
        <v>1.6875000000000004E-3</v>
      </c>
      <c r="I35" s="13">
        <f>E35*0.012</f>
        <v>1.6199999999999999E-2</v>
      </c>
      <c r="J35" s="13">
        <f>F35*0.012</f>
        <v>2.1485917317405866E-3</v>
      </c>
      <c r="K35" s="13">
        <f>G35*0.012</f>
        <v>2.0626480624709637E-2</v>
      </c>
    </row>
    <row r="36" spans="1:21" ht="18.75" x14ac:dyDescent="0.25">
      <c r="B36" s="10" t="s">
        <v>21</v>
      </c>
      <c r="C36" s="45">
        <v>31</v>
      </c>
      <c r="D36" s="6">
        <f>$C$10*10^-12*L23*I10*1000*1000*F23*10^-6</f>
        <v>7.7500000000000017E-3</v>
      </c>
      <c r="E36" s="6">
        <f>$C$10*10^-12*M23*J10*1000*G23*10^-6*1000</f>
        <v>0.64480000000000004</v>
      </c>
      <c r="F36" s="6">
        <f>$C$10*10^-12*N23*K10*1000*F23*10^-6*1000</f>
        <v>9.8676064716975119E-3</v>
      </c>
      <c r="G36" s="6">
        <f>$C$10*10^-12*O23*L10*1000*G23*10^-6*1000</f>
        <v>0.82098485844523295</v>
      </c>
      <c r="H36" s="13">
        <f>D36*0.012</f>
        <v>9.3000000000000024E-5</v>
      </c>
      <c r="I36" s="13">
        <f>E36*0.012</f>
        <v>7.7376000000000007E-3</v>
      </c>
      <c r="J36" s="13">
        <f>F36*0.012</f>
        <v>1.1841127766037015E-4</v>
      </c>
      <c r="K36" s="13">
        <f>G36*0.012</f>
        <v>9.8518183013427962E-3</v>
      </c>
    </row>
    <row r="37" spans="1:21" ht="18.75" x14ac:dyDescent="0.25">
      <c r="B37" s="10" t="s">
        <v>20</v>
      </c>
      <c r="C37" s="45">
        <v>32</v>
      </c>
      <c r="D37" s="6">
        <f>$C$10*10^-12*L24*I11*1000*1000*F24*10^-6</f>
        <v>4</v>
      </c>
      <c r="E37" s="6">
        <f>$C$10*10^-12*M24*J11*1000*G24*10^-6*1000</f>
        <v>47.999999999999986</v>
      </c>
      <c r="F37" s="6">
        <f>$C$10*10^-12*N24*K11*1000*F24*10^-6*1000</f>
        <v>5.0929581789406511</v>
      </c>
      <c r="G37" s="6">
        <f>$C$10*10^-12*O24*L11*1000*G24*10^-6*1000</f>
        <v>61.115498147287809</v>
      </c>
      <c r="H37" s="13">
        <f>D37*0.012</f>
        <v>4.8000000000000001E-2</v>
      </c>
      <c r="I37" s="13">
        <f>E37*0.012</f>
        <v>0.57599999999999985</v>
      </c>
      <c r="J37" s="13">
        <f>F37*0.012</f>
        <v>6.1115498147287811E-2</v>
      </c>
      <c r="K37" s="13">
        <f>G37*0.012</f>
        <v>0.73338597776745373</v>
      </c>
    </row>
    <row r="38" spans="1:21" ht="18.75" x14ac:dyDescent="0.25">
      <c r="B38" s="10" t="s">
        <v>18</v>
      </c>
      <c r="C38" s="45">
        <v>35</v>
      </c>
      <c r="D38" s="6">
        <f>$C$10*10^-12*L25*I12*1000*1000*F25*10^-6</f>
        <v>2.6249999999999999E-2</v>
      </c>
      <c r="E38" s="6">
        <f>$C$10*10^-12*M25*J12*1000*G25*10^-6*1000</f>
        <v>1.6799999999999997</v>
      </c>
      <c r="F38" s="6">
        <f>$C$10*10^-12*N25*K12*1000*F25*10^-6*1000</f>
        <v>3.3422538049298019E-2</v>
      </c>
      <c r="G38" s="6">
        <f>$C$10*10^-12*O25*L12*1000*G25*10^-6*1000</f>
        <v>2.1390424351550736</v>
      </c>
      <c r="H38" s="13">
        <f>D38*0.012</f>
        <v>3.1500000000000001E-4</v>
      </c>
      <c r="I38" s="13">
        <f>E38*0.012</f>
        <v>2.0159999999999997E-2</v>
      </c>
      <c r="J38" s="13">
        <f>F38*0.012</f>
        <v>4.0107045659157624E-4</v>
      </c>
      <c r="K38" s="13">
        <f>G38*0.012</f>
        <v>2.5668509221860883E-2</v>
      </c>
    </row>
    <row r="39" spans="1:21" ht="18.75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spans="1:21" ht="18.75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spans="1:21" ht="25.5" x14ac:dyDescent="0.25">
      <c r="A41" s="76" t="s">
        <v>78</v>
      </c>
      <c r="E41" s="14" t="s">
        <v>55</v>
      </c>
      <c r="F41" s="1">
        <f>5.543*10^-10</f>
        <v>5.5430000000000004E-10</v>
      </c>
      <c r="G41" s="1" t="s">
        <v>59</v>
      </c>
      <c r="U41" s="2"/>
    </row>
    <row r="42" spans="1:21" ht="21" thickBot="1" x14ac:dyDescent="0.3">
      <c r="B42" s="17" t="s">
        <v>58</v>
      </c>
      <c r="C42" s="1">
        <v>39.963999999999999</v>
      </c>
      <c r="D42" s="18" t="s">
        <v>60</v>
      </c>
      <c r="E42" s="14" t="s">
        <v>56</v>
      </c>
      <c r="F42" s="15">
        <v>5.8099999999999998E-11</v>
      </c>
      <c r="G42" s="1" t="s">
        <v>59</v>
      </c>
      <c r="K42" s="1" t="s">
        <v>63</v>
      </c>
      <c r="L42" s="1">
        <f>3.5*10^-16</f>
        <v>3.4999999999999997E-16</v>
      </c>
      <c r="M42" s="1" t="s">
        <v>64</v>
      </c>
      <c r="U42" s="2"/>
    </row>
    <row r="43" spans="1:21" ht="43.5" customHeight="1" thickBot="1" x14ac:dyDescent="0.3">
      <c r="B43" s="73" t="s">
        <v>57</v>
      </c>
      <c r="C43" s="74"/>
      <c r="D43" s="74"/>
      <c r="E43" s="75"/>
      <c r="F43" s="19" t="s">
        <v>54</v>
      </c>
      <c r="G43" s="73" t="s">
        <v>61</v>
      </c>
      <c r="H43" s="74"/>
      <c r="I43" s="74"/>
      <c r="J43" s="75"/>
      <c r="K43" s="73" t="s">
        <v>62</v>
      </c>
      <c r="L43" s="74"/>
      <c r="M43" s="74"/>
      <c r="N43" s="75"/>
    </row>
    <row r="44" spans="1:21" ht="50.25" customHeight="1" x14ac:dyDescent="0.25">
      <c r="A44" s="2"/>
      <c r="B44" s="71" t="s">
        <v>32</v>
      </c>
      <c r="C44" s="72"/>
      <c r="D44" s="71" t="s">
        <v>31</v>
      </c>
      <c r="E44" s="72"/>
      <c r="F44" s="20"/>
      <c r="G44" s="71" t="s">
        <v>32</v>
      </c>
      <c r="H44" s="72"/>
      <c r="I44" s="71" t="s">
        <v>31</v>
      </c>
      <c r="J44" s="72"/>
      <c r="K44" s="71" t="s">
        <v>32</v>
      </c>
      <c r="L44" s="72"/>
      <c r="M44" s="71" t="s">
        <v>31</v>
      </c>
      <c r="N44" s="72"/>
    </row>
    <row r="45" spans="1:21" s="2" customFormat="1" ht="18.75" x14ac:dyDescent="0.25">
      <c r="B45" s="4" t="s">
        <v>8</v>
      </c>
      <c r="C45" s="4" t="s">
        <v>7</v>
      </c>
      <c r="D45" s="4" t="s">
        <v>8</v>
      </c>
      <c r="E45" s="4" t="s">
        <v>7</v>
      </c>
      <c r="F45" s="16"/>
      <c r="G45" s="4" t="s">
        <v>8</v>
      </c>
      <c r="H45" s="4" t="s">
        <v>7</v>
      </c>
      <c r="I45" s="4" t="s">
        <v>8</v>
      </c>
      <c r="J45" s="4" t="s">
        <v>7</v>
      </c>
      <c r="K45" s="4" t="s">
        <v>8</v>
      </c>
      <c r="L45" s="4" t="s">
        <v>7</v>
      </c>
      <c r="M45" s="4" t="s">
        <v>8</v>
      </c>
      <c r="N45" s="4" t="s">
        <v>7</v>
      </c>
      <c r="O45" s="1"/>
    </row>
    <row r="46" spans="1:21" s="2" customFormat="1" ht="18.75" x14ac:dyDescent="0.25">
      <c r="A46" s="1"/>
      <c r="B46" s="5">
        <f>H31*10^-6/$C$42</f>
        <v>3.4531077970173158E-10</v>
      </c>
      <c r="C46" s="5">
        <f>I31*(10^-6)/$C$42</f>
        <v>1.546992293063757E-9</v>
      </c>
      <c r="D46" s="5">
        <f>J31*10^-6/$C$42</f>
        <v>4.3966333993957668E-10</v>
      </c>
      <c r="E46" s="5">
        <f>K31*10^-6/$C$42</f>
        <v>1.9696917629293042E-9</v>
      </c>
      <c r="F46" s="1"/>
      <c r="G46" s="21">
        <f>(EXP($F46*10^6*$F$41)-1)*$F$42/$F$41*B46</f>
        <v>0</v>
      </c>
      <c r="H46" s="21">
        <f>(EXP($F46*10^6*$F$41)-1)*$F$42/$F$41*C46</f>
        <v>0</v>
      </c>
      <c r="I46" s="21">
        <f>(EXP($F46*10^6*$F$41)-1)*$F$42/$F$41*D46</f>
        <v>0</v>
      </c>
      <c r="J46" s="21">
        <f>(EXP($F46*10^6*$F$41)-1)*$F$42/$F$41*E46</f>
        <v>0</v>
      </c>
      <c r="K46" s="22">
        <f>G46/$L$42</f>
        <v>0</v>
      </c>
      <c r="L46" s="22">
        <f>H46/$L$42</f>
        <v>0</v>
      </c>
      <c r="M46" s="22">
        <f>I46/$L$42</f>
        <v>0</v>
      </c>
      <c r="N46" s="22">
        <f>J46/$L$42</f>
        <v>0</v>
      </c>
      <c r="O46" s="1"/>
    </row>
    <row r="47" spans="1:21" s="2" customFormat="1" ht="18.75" customHeight="1" x14ac:dyDescent="0.25">
      <c r="A47" s="1"/>
      <c r="B47" s="5">
        <f>H32*10^-6/$C$42</f>
        <v>1.7265538985086579E-10</v>
      </c>
      <c r="C47" s="5">
        <f>I32*10^-6/$C$42</f>
        <v>7.7349614653187848E-10</v>
      </c>
      <c r="D47" s="5">
        <f>J32*10^-6/$C$42</f>
        <v>2.1983166996978834E-10</v>
      </c>
      <c r="E47" s="5">
        <f>K32*10^-6/$C$42</f>
        <v>9.8484588146465212E-10</v>
      </c>
      <c r="F47" s="16">
        <v>84</v>
      </c>
      <c r="G47" s="21">
        <f>(EXP($F47*10^6*$F$41)-1)*$F$42/$F$41*B47</f>
        <v>8.6255227421789275E-13</v>
      </c>
      <c r="H47" s="21">
        <f>(EXP($F47*10^6*$F$41)-1)*$F$42/$F$41*C47</f>
        <v>3.8642341884961585E-12</v>
      </c>
      <c r="I47" s="21">
        <f>(EXP($F47*10^6*$F$41)-1)*$F$42/$F$41*D47</f>
        <v>1.0982356649354686E-12</v>
      </c>
      <c r="J47" s="21">
        <f>(EXP($F47*10^6*$F$41)-1)*$F$42/$F$41*E47</f>
        <v>4.9200957789109014E-12</v>
      </c>
      <c r="K47" s="22">
        <f>G47/$L$42</f>
        <v>2464.4350691939794</v>
      </c>
      <c r="L47" s="22">
        <f>H47/$L$42</f>
        <v>11040.669109989025</v>
      </c>
      <c r="M47" s="22">
        <f>I47/$L$42</f>
        <v>3137.8161855299104</v>
      </c>
      <c r="N47" s="22">
        <f>J47/$L$42</f>
        <v>14057.416511174006</v>
      </c>
      <c r="O47" s="1"/>
    </row>
    <row r="48" spans="1:21" s="2" customFormat="1" ht="18.75" x14ac:dyDescent="0.25">
      <c r="A48" s="1"/>
      <c r="B48" s="5">
        <f>H33*10^-6/$C$42</f>
        <v>1.8016214593133824E-11</v>
      </c>
      <c r="C48" s="5">
        <f>I33*10^-6/$C$42</f>
        <v>5.7651886698028228E-10</v>
      </c>
      <c r="D48" s="5">
        <f>J33*10^-6/$C$42</f>
        <v>2.2938956866412699E-11</v>
      </c>
      <c r="E48" s="5">
        <f>K33*10^-6/$C$42</f>
        <v>7.3404661972520647E-10</v>
      </c>
      <c r="F48" s="16">
        <v>97</v>
      </c>
      <c r="G48" s="21">
        <f>(EXP($F48*10^6*$F$41)-1)*$F$42/$F$41*B48</f>
        <v>1.0431315992518568E-13</v>
      </c>
      <c r="H48" s="21">
        <f>(EXP($F48*10^6*$F$41)-1)*$F$42/$F$41*C48</f>
        <v>3.3380211176059409E-12</v>
      </c>
      <c r="I48" s="21">
        <f>(EXP($F48*10^6*$F$41)-1)*$F$42/$F$41*D48</f>
        <v>1.3281564025302958E-13</v>
      </c>
      <c r="J48" s="21">
        <f>(EXP($F48*10^6*$F$41)-1)*$F$42/$F$41*E48</f>
        <v>4.2501004880969474E-12</v>
      </c>
      <c r="K48" s="22">
        <f>G48/$L$42</f>
        <v>298.03759978624481</v>
      </c>
      <c r="L48" s="22">
        <f>H48/$L$42</f>
        <v>9537.2031931598322</v>
      </c>
      <c r="M48" s="22">
        <f>I48/$L$42</f>
        <v>379.47325786579881</v>
      </c>
      <c r="N48" s="22">
        <f>J48/$L$42</f>
        <v>12143.144251705566</v>
      </c>
      <c r="O48" s="1"/>
    </row>
    <row r="49" spans="1:15" s="2" customFormat="1" ht="18.75" x14ac:dyDescent="0.25">
      <c r="A49" s="1"/>
      <c r="B49" s="5">
        <f>H34*10^-6/$C$42</f>
        <v>2.4772295065559004E-12</v>
      </c>
      <c r="C49" s="5">
        <f>I34*10^-6/$C$42</f>
        <v>4.4391952757481726E-10</v>
      </c>
      <c r="D49" s="5">
        <f>J34*10^-6/$C$42</f>
        <v>3.1541065691317459E-12</v>
      </c>
      <c r="E49" s="5">
        <f>K34*10^-6/$C$42</f>
        <v>5.6521589718840894E-10</v>
      </c>
      <c r="F49" s="16">
        <v>144</v>
      </c>
      <c r="G49" s="21">
        <f>(EXP($F49*10^6*$F$41)-1)*$F$42/$F$41*B49</f>
        <v>2.1575092715498559E-14</v>
      </c>
      <c r="H49" s="21">
        <f>(EXP($F49*10^6*$F$41)-1)*$F$42/$F$41*C49</f>
        <v>3.8662566146173414E-12</v>
      </c>
      <c r="I49" s="21">
        <f>(EXP($F49*10^6*$F$41)-1)*$F$42/$F$41*D49</f>
        <v>2.7470261226700309E-14</v>
      </c>
      <c r="J49" s="21">
        <f>(EXP($F49*10^6*$F$41)-1)*$F$42/$F$41*E49</f>
        <v>4.922670811824696E-12</v>
      </c>
      <c r="K49" s="22">
        <f>G49/$L$42</f>
        <v>61.643122044281604</v>
      </c>
      <c r="L49" s="22">
        <f>H49/$L$42</f>
        <v>11046.447470335263</v>
      </c>
      <c r="M49" s="22">
        <f>I49/$L$42</f>
        <v>78.486460647715177</v>
      </c>
      <c r="N49" s="22">
        <f>J49/$L$42</f>
        <v>14064.773748070562</v>
      </c>
      <c r="O49" s="1"/>
    </row>
    <row r="50" spans="1:15" s="2" customFormat="1" ht="18.75" x14ac:dyDescent="0.25">
      <c r="A50" s="1"/>
      <c r="B50" s="5">
        <f>H35*10^-6/$C$42</f>
        <v>4.2225502952657404E-11</v>
      </c>
      <c r="C50" s="5">
        <f>I35*10^-6/$C$42</f>
        <v>4.0536482834551097E-10</v>
      </c>
      <c r="D50" s="5">
        <f>J35*10^-6/$C$42</f>
        <v>5.3763180155654755E-11</v>
      </c>
      <c r="E50" s="5">
        <f>K35*10^-6/$C$42</f>
        <v>5.1612652949428577E-10</v>
      </c>
      <c r="F50" s="16">
        <v>559</v>
      </c>
      <c r="G50" s="21">
        <f>(EXP($F50*10^6*$F$41)-1)*$F$42/$F$41*B50</f>
        <v>1.6076170594936838E-12</v>
      </c>
      <c r="H50" s="21">
        <f>(EXP($F50*10^6*$F$41)-1)*$F$42/$F$41*C50</f>
        <v>1.543312377113936E-11</v>
      </c>
      <c r="I50" s="21">
        <f>(EXP($F50*10^6*$F$41)-1)*$F$42/$F$41*D50</f>
        <v>2.0468816129382179E-12</v>
      </c>
      <c r="J50" s="21">
        <f>(EXP($F50*10^6*$F$41)-1)*$F$42/$F$41*E50</f>
        <v>1.9650063484206895E-11</v>
      </c>
      <c r="K50" s="22">
        <f>G50/$L$42</f>
        <v>4593.1915985533824</v>
      </c>
      <c r="L50" s="22">
        <f>H50/$L$42</f>
        <v>44094.639346112461</v>
      </c>
      <c r="M50" s="22">
        <f>I50/$L$42</f>
        <v>5848.23317982348</v>
      </c>
      <c r="N50" s="22">
        <f>J50/$L$42</f>
        <v>56143.03852630542</v>
      </c>
      <c r="O50" s="1"/>
    </row>
    <row r="51" spans="1:15" s="2" customFormat="1" ht="18.75" x14ac:dyDescent="0.25">
      <c r="A51" s="1"/>
      <c r="B51" s="5">
        <f>H36*10^-6/$C$42</f>
        <v>2.3270943849464523E-12</v>
      </c>
      <c r="C51" s="5">
        <f>I36*10^-6/$C$42</f>
        <v>1.9361425282754482E-10</v>
      </c>
      <c r="D51" s="5">
        <f>J36*10^-6/$C$42</f>
        <v>2.9629485952449741E-12</v>
      </c>
      <c r="E51" s="5">
        <f>K36*10^-6/$C$42</f>
        <v>2.4651732312438189E-10</v>
      </c>
      <c r="F51" s="16">
        <v>129</v>
      </c>
      <c r="G51" s="21">
        <f>(EXP($F51*10^6*$F$41)-1)*$F$42/$F$41*B51</f>
        <v>1.808004082290107E-14</v>
      </c>
      <c r="H51" s="21">
        <f>(EXP($F51*10^6*$F$41)-1)*$F$42/$F$41*C51</f>
        <v>1.5042593964653689E-12</v>
      </c>
      <c r="I51" s="21">
        <f>(EXP($F51*10^6*$F$41)-1)*$F$42/$F$41*D51</f>
        <v>2.3020222946143712E-14</v>
      </c>
      <c r="J51" s="21">
        <f>(EXP($F51*10^6*$F$41)-1)*$F$42/$F$41*E51</f>
        <v>1.9152825491191574E-12</v>
      </c>
      <c r="K51" s="22">
        <f>G51/$L$42</f>
        <v>51.657259494003064</v>
      </c>
      <c r="L51" s="22">
        <f>H51/$L$42</f>
        <v>4297.8839899010545</v>
      </c>
      <c r="M51" s="22">
        <f>I51/$L$42</f>
        <v>65.77206556041061</v>
      </c>
      <c r="N51" s="22">
        <f>J51/$L$42</f>
        <v>5472.2358546261648</v>
      </c>
      <c r="O51" s="1"/>
    </row>
    <row r="52" spans="1:15" s="2" customFormat="1" ht="18.75" x14ac:dyDescent="0.25">
      <c r="A52" s="1"/>
      <c r="B52" s="5">
        <f>H37*10^-6/$C$42</f>
        <v>1.2010809728755881E-9</v>
      </c>
      <c r="C52" s="5">
        <f>I37*10^-6/$C$42</f>
        <v>1.4412971674507054E-8</v>
      </c>
      <c r="D52" s="5">
        <f>J37*10^-6/$C$42</f>
        <v>1.5292637910941801E-9</v>
      </c>
      <c r="E52" s="5">
        <f>K37*10^-6/$C$42</f>
        <v>1.8351165493130161E-8</v>
      </c>
      <c r="F52" s="16">
        <v>192</v>
      </c>
      <c r="G52" s="21">
        <f>(EXP($F52*10^6*$F$41)-1)*$F$42/$F$41*B52</f>
        <v>1.4137239400813838E-11</v>
      </c>
      <c r="H52" s="21">
        <f>(EXP($F52*10^6*$F$41)-1)*$F$42/$F$41*C52</f>
        <v>1.6964687280976601E-10</v>
      </c>
      <c r="I52" s="21">
        <f>(EXP($F52*10^6*$F$41)-1)*$F$42/$F$41*D52</f>
        <v>1.8000092258504214E-11</v>
      </c>
      <c r="J52" s="21">
        <f>(EXP($F52*10^6*$F$41)-1)*$F$42/$F$41*E52</f>
        <v>2.1600110710205057E-10</v>
      </c>
      <c r="K52" s="22">
        <f>G52/$L$42</f>
        <v>40392.112573753824</v>
      </c>
      <c r="L52" s="22">
        <f>H52/$L$42</f>
        <v>484705.35088504577</v>
      </c>
      <c r="M52" s="22">
        <f>I52/$L$42</f>
        <v>51428.835024297761</v>
      </c>
      <c r="N52" s="22">
        <f>J52/$L$42</f>
        <v>617146.02029157314</v>
      </c>
      <c r="O52" s="1"/>
    </row>
    <row r="53" spans="1:15" s="2" customFormat="1" ht="18.75" x14ac:dyDescent="0.25">
      <c r="A53" s="1"/>
      <c r="B53" s="5">
        <f>H38*10^-6/$C$42</f>
        <v>7.882093884496047E-12</v>
      </c>
      <c r="C53" s="5">
        <f>I38*10^-6/$C$42</f>
        <v>5.044540086077469E-10</v>
      </c>
      <c r="D53" s="5">
        <f>J38*10^-6/$C$42</f>
        <v>1.0035793629055556E-11</v>
      </c>
      <c r="E53" s="5">
        <f>K38*10^-6/$C$42</f>
        <v>6.4229079225955558E-10</v>
      </c>
      <c r="F53" s="16">
        <v>200</v>
      </c>
      <c r="G53" s="21">
        <f>(EXP($F53*10^6*$F$41)-1)*$F$42/$F$41*B53</f>
        <v>9.6859683538080386E-14</v>
      </c>
      <c r="H53" s="21">
        <f>(EXP($F53*10^6*$F$41)-1)*$F$42/$F$41*C53</f>
        <v>6.1990197464371431E-12</v>
      </c>
      <c r="I53" s="21">
        <f>(EXP($F53*10^6*$F$41)-1)*$F$42/$F$41*D53</f>
        <v>1.2332557937121738E-13</v>
      </c>
      <c r="J53" s="21">
        <f>(EXP($F53*10^6*$F$41)-1)*$F$42/$F$41*E53</f>
        <v>7.8928370797579122E-12</v>
      </c>
      <c r="K53" s="22">
        <f>G53/$L$42</f>
        <v>276.74195296594399</v>
      </c>
      <c r="L53" s="22">
        <f>H53/$L$42</f>
        <v>17711.484989820412</v>
      </c>
      <c r="M53" s="22">
        <f>I53/$L$42</f>
        <v>352.35879820347827</v>
      </c>
      <c r="N53" s="22">
        <f>J53/$L$42</f>
        <v>22550.963085022609</v>
      </c>
      <c r="O53" s="1"/>
    </row>
    <row r="54" spans="1:15" x14ac:dyDescent="0.25">
      <c r="B54" s="23"/>
    </row>
    <row r="55" spans="1:15" ht="19.5" thickBot="1" x14ac:dyDescent="0.3">
      <c r="G55" s="2"/>
    </row>
    <row r="56" spans="1:15" ht="38.25" thickBot="1" x14ac:dyDescent="0.3">
      <c r="A56" s="76" t="s">
        <v>79</v>
      </c>
      <c r="B56" s="32"/>
      <c r="C56" s="60" t="s">
        <v>70</v>
      </c>
      <c r="D56" s="60"/>
      <c r="E56" s="33" t="s">
        <v>65</v>
      </c>
      <c r="F56" s="34" t="s">
        <v>67</v>
      </c>
      <c r="G56" s="2"/>
    </row>
    <row r="57" spans="1:15" ht="19.5" thickBot="1" x14ac:dyDescent="0.3">
      <c r="B57" s="27"/>
      <c r="F57" s="28"/>
      <c r="G57" s="2"/>
    </row>
    <row r="58" spans="1:15" x14ac:dyDescent="0.25">
      <c r="B58" s="27"/>
      <c r="C58" s="26" t="s">
        <v>8</v>
      </c>
      <c r="D58" s="37" t="s">
        <v>7</v>
      </c>
      <c r="F58" s="28"/>
    </row>
    <row r="59" spans="1:15" ht="18.75" x14ac:dyDescent="0.25">
      <c r="B59" s="35" t="s">
        <v>66</v>
      </c>
      <c r="C59" s="38">
        <f>K47</f>
        <v>2464.4350691939794</v>
      </c>
      <c r="D59" s="39">
        <f>L47</f>
        <v>11040.669109989025</v>
      </c>
      <c r="E59" s="1">
        <v>4644</v>
      </c>
      <c r="F59" s="29">
        <v>25</v>
      </c>
    </row>
    <row r="60" spans="1:15" ht="18.75" x14ac:dyDescent="0.25">
      <c r="B60" s="35" t="s">
        <v>27</v>
      </c>
      <c r="C60" s="38">
        <f>K48</f>
        <v>298.03759978624481</v>
      </c>
      <c r="D60" s="39">
        <f>L48</f>
        <v>9537.2031931598322</v>
      </c>
      <c r="E60" s="1">
        <v>5377</v>
      </c>
      <c r="F60" s="29">
        <v>30</v>
      </c>
    </row>
    <row r="61" spans="1:15" ht="18.75" x14ac:dyDescent="0.25">
      <c r="B61" s="35" t="s">
        <v>25</v>
      </c>
      <c r="C61" s="38">
        <f>K49</f>
        <v>61.643122044281604</v>
      </c>
      <c r="D61" s="39">
        <f>L49</f>
        <v>11046.447470335263</v>
      </c>
      <c r="E61" s="1">
        <v>2338</v>
      </c>
      <c r="F61" s="29">
        <v>22</v>
      </c>
    </row>
    <row r="62" spans="1:15" ht="18.75" x14ac:dyDescent="0.25">
      <c r="B62" s="35" t="s">
        <v>23</v>
      </c>
      <c r="C62" s="38">
        <f>K50</f>
        <v>4593.1915985533824</v>
      </c>
      <c r="D62" s="39">
        <f>L50</f>
        <v>44094.639346112461</v>
      </c>
      <c r="E62" s="1">
        <v>1779</v>
      </c>
      <c r="F62" s="29">
        <v>30</v>
      </c>
    </row>
    <row r="63" spans="1:15" ht="18.75" x14ac:dyDescent="0.25">
      <c r="B63" s="35" t="s">
        <v>21</v>
      </c>
      <c r="C63" s="38">
        <f>K51</f>
        <v>51.657259494003064</v>
      </c>
      <c r="D63" s="39">
        <f>L51</f>
        <v>4297.8839899010545</v>
      </c>
      <c r="E63" s="1">
        <v>6576</v>
      </c>
      <c r="F63" s="29">
        <v>31</v>
      </c>
    </row>
    <row r="64" spans="1:15" ht="18.75" x14ac:dyDescent="0.25">
      <c r="B64" s="35" t="s">
        <v>20</v>
      </c>
      <c r="C64" s="38">
        <f>K52</f>
        <v>40392.112573753824</v>
      </c>
      <c r="D64" s="39">
        <f>L52</f>
        <v>484705.35088504577</v>
      </c>
      <c r="E64" s="1">
        <v>4648</v>
      </c>
      <c r="F64" s="29">
        <v>32</v>
      </c>
    </row>
    <row r="65" spans="1:16" ht="19.5" thickBot="1" x14ac:dyDescent="0.3">
      <c r="B65" s="36" t="s">
        <v>18</v>
      </c>
      <c r="C65" s="40">
        <f>K53</f>
        <v>276.74195296594399</v>
      </c>
      <c r="D65" s="41">
        <f>L53</f>
        <v>17711.484989820412</v>
      </c>
      <c r="E65" s="30">
        <v>4460</v>
      </c>
      <c r="F65" s="31">
        <v>35</v>
      </c>
    </row>
    <row r="67" spans="1:16" ht="15.75" thickBot="1" x14ac:dyDescent="0.3"/>
    <row r="68" spans="1:16" ht="27" thickBot="1" x14ac:dyDescent="0.3">
      <c r="A68" s="76" t="s">
        <v>80</v>
      </c>
      <c r="B68" s="49" t="s">
        <v>11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1"/>
    </row>
    <row r="69" spans="1:16" ht="18.75" x14ac:dyDescent="0.25">
      <c r="B69" s="2"/>
      <c r="C69" s="2"/>
      <c r="D69" s="2"/>
      <c r="E69" s="53" t="s">
        <v>44</v>
      </c>
      <c r="F69" s="53"/>
      <c r="G69" s="53" t="s">
        <v>45</v>
      </c>
      <c r="H69" s="53"/>
      <c r="I69" s="53" t="s">
        <v>49</v>
      </c>
      <c r="J69" s="53"/>
      <c r="K69" s="53" t="s">
        <v>50</v>
      </c>
      <c r="L69" s="53"/>
      <c r="M69" s="53" t="s">
        <v>51</v>
      </c>
      <c r="N69" s="53"/>
      <c r="O69" s="53" t="s">
        <v>52</v>
      </c>
      <c r="P69" s="53"/>
    </row>
    <row r="70" spans="1:16" ht="18.75" x14ac:dyDescent="0.25">
      <c r="B70" s="2"/>
      <c r="C70" s="4" t="s">
        <v>10</v>
      </c>
      <c r="D70" s="4" t="s">
        <v>9</v>
      </c>
      <c r="E70" s="4" t="s">
        <v>8</v>
      </c>
      <c r="F70" s="4" t="s">
        <v>7</v>
      </c>
      <c r="G70" s="4" t="s">
        <v>8</v>
      </c>
      <c r="H70" s="4" t="s">
        <v>7</v>
      </c>
      <c r="I70" s="4" t="s">
        <v>8</v>
      </c>
      <c r="J70" s="4" t="s">
        <v>7</v>
      </c>
      <c r="K70" s="4" t="s">
        <v>8</v>
      </c>
      <c r="L70" s="4" t="s">
        <v>7</v>
      </c>
      <c r="M70" s="4" t="s">
        <v>8</v>
      </c>
      <c r="N70" s="4" t="s">
        <v>7</v>
      </c>
      <c r="O70" s="4" t="s">
        <v>8</v>
      </c>
      <c r="P70" s="4" t="s">
        <v>7</v>
      </c>
    </row>
    <row r="71" spans="1:16" ht="18.75" x14ac:dyDescent="0.3">
      <c r="B71" s="52" t="s">
        <v>6</v>
      </c>
      <c r="C71" s="8" t="s">
        <v>5</v>
      </c>
      <c r="D71" s="7">
        <f>0.003706 * 10000</f>
        <v>37.06</v>
      </c>
      <c r="E71" s="56">
        <f>$C$8-O21</f>
        <v>33310321.638291124</v>
      </c>
      <c r="F71" s="56">
        <f>$D$8-N21</f>
        <v>65289846.949787349</v>
      </c>
      <c r="G71" s="56">
        <f>$C$9-M21</f>
        <v>63700000</v>
      </c>
      <c r="H71" s="56">
        <f>$D$9-M21</f>
        <v>124700000</v>
      </c>
      <c r="I71" s="42">
        <f>$C$10*10^-12*10^6*$E$71*$K$8*$D$71*(10^-6)</f>
        <v>0.81045391719243698</v>
      </c>
      <c r="J71" s="42">
        <f>$C$10*10^-12*F71*L8*10^6*D71*10^-6</f>
        <v>0.81332685248202208</v>
      </c>
      <c r="K71" s="42">
        <f>C10*10^-12*10^6*G71*I8*D71*10^-6</f>
        <v>0.81149818749999991</v>
      </c>
      <c r="L71" s="42">
        <f>D10*10^-12*10^6*H71*J8*D71*10^-6</f>
        <v>0.81336323199999994</v>
      </c>
      <c r="M71" s="42">
        <f>0.012*I71</f>
        <v>9.7254470063092447E-3</v>
      </c>
      <c r="N71" s="42">
        <f>0.012*J71</f>
        <v>9.7599222297842653E-3</v>
      </c>
      <c r="O71" s="42">
        <f>0.012*K71</f>
        <v>9.7379782499999994E-3</v>
      </c>
      <c r="P71" s="42">
        <f>0.012*L71</f>
        <v>9.7603587839999988E-3</v>
      </c>
    </row>
    <row r="72" spans="1:16" ht="18.75" x14ac:dyDescent="0.3">
      <c r="B72" s="52"/>
      <c r="C72" s="8" t="s">
        <v>4</v>
      </c>
      <c r="D72" s="7">
        <v>100</v>
      </c>
      <c r="E72" s="56"/>
      <c r="F72" s="56"/>
      <c r="G72" s="56"/>
      <c r="H72" s="56"/>
      <c r="I72" s="42">
        <f>$C$10*10^-12*10^6*$E$71*$K$8*D72*10^-6</f>
        <v>2.1868697171949187</v>
      </c>
      <c r="J72" s="42">
        <f>$C$10*10^-12*F71*L8*10^6*D72*10^-6</f>
        <v>2.1946218361630381</v>
      </c>
      <c r="K72" s="42">
        <f>C10*10^-12*10^6*G71*I8*D72*10^-6</f>
        <v>2.1896874999999998</v>
      </c>
      <c r="L72" s="42">
        <f>D10*10^-12*10^6*H71*J8*D72*10^-6</f>
        <v>2.1947199999999993</v>
      </c>
      <c r="M72" s="42">
        <f>0.012*I72</f>
        <v>2.6242436606339025E-2</v>
      </c>
      <c r="N72" s="42">
        <f t="shared" ref="N72:N73" si="1">0.012*J72</f>
        <v>2.6335462033956456E-2</v>
      </c>
      <c r="O72" s="42">
        <f t="shared" ref="O72:O73" si="2">0.012*K72</f>
        <v>2.6276249999999998E-2</v>
      </c>
      <c r="P72" s="42">
        <f t="shared" ref="P72:P73" si="3">0.012*L72</f>
        <v>2.6336639999999991E-2</v>
      </c>
    </row>
    <row r="73" spans="1:16" ht="18.75" x14ac:dyDescent="0.3">
      <c r="B73" s="52"/>
      <c r="C73" s="8" t="s">
        <v>3</v>
      </c>
      <c r="D73" s="7">
        <f>0.012419*10000</f>
        <v>124.19</v>
      </c>
      <c r="E73" s="56"/>
      <c r="F73" s="56"/>
      <c r="G73" s="56"/>
      <c r="H73" s="56"/>
      <c r="I73" s="42">
        <f>$C$10*10^-12*10^6*$E$71*$K$8*D73*10^-6</f>
        <v>2.7158735017843698</v>
      </c>
      <c r="J73" s="42">
        <f>$C$10*10^-12*F71*L8*10^6*D73*10^-6</f>
        <v>2.7255008583308773</v>
      </c>
      <c r="K73" s="42">
        <f>C10*10^-12*10^6*G71*I8*D73*10^-6</f>
        <v>2.7193729062499998</v>
      </c>
      <c r="L73" s="42">
        <f>D10*10^-12*10^6*H71*J8*D73*10^-6</f>
        <v>2.7256227679999996</v>
      </c>
      <c r="M73" s="42">
        <f t="shared" ref="M73" si="4">0.012*I73</f>
        <v>3.2590482021412438E-2</v>
      </c>
      <c r="N73" s="42">
        <f t="shared" si="1"/>
        <v>3.2706010299970528E-2</v>
      </c>
      <c r="O73" s="42">
        <f t="shared" si="2"/>
        <v>3.2632474874999998E-2</v>
      </c>
      <c r="P73" s="42">
        <f t="shared" si="3"/>
        <v>3.2707473215999996E-2</v>
      </c>
    </row>
    <row r="74" spans="1:16" ht="18.75" x14ac:dyDescent="0.3">
      <c r="B74" s="52" t="s">
        <v>2</v>
      </c>
      <c r="C74" s="8" t="s">
        <v>1</v>
      </c>
      <c r="D74" s="7">
        <f>0.002998*10000</f>
        <v>29.979999999999997</v>
      </c>
      <c r="E74" s="56">
        <f>C8-O20</f>
        <v>32443654.971624456</v>
      </c>
      <c r="F74" s="56">
        <f>D8-N20</f>
        <v>64596513.616454013</v>
      </c>
      <c r="G74" s="56">
        <f>C9-M20</f>
        <v>62400000</v>
      </c>
      <c r="H74" s="56">
        <f>D9-L20</f>
        <v>123720000</v>
      </c>
      <c r="I74" s="42">
        <f>$C$10*10^-12*E74*K7*10^6*D74*10^-6</f>
        <v>0.87077120883662973</v>
      </c>
      <c r="J74" s="42">
        <f>$C$10*10^6*10^-12*F74*L7*D74*10^-6</f>
        <v>0.88767364713948349</v>
      </c>
      <c r="K74" s="42">
        <f>$C$10*I7*G74*10^-12*10^6*D74*10^-6</f>
        <v>0.87691499999999989</v>
      </c>
      <c r="L74" s="42">
        <f>$C$10*J7*H74*10^-12*10^6*D74*10^-6</f>
        <v>0.89019014399999985</v>
      </c>
      <c r="M74" s="42">
        <f>0.012*I74</f>
        <v>1.0449254506039557E-2</v>
      </c>
      <c r="N74" s="42">
        <f t="shared" ref="N74:P75" si="5">0.012*J74</f>
        <v>1.0652083765673802E-2</v>
      </c>
      <c r="O74" s="42">
        <f>0.012*K74</f>
        <v>1.0522979999999999E-2</v>
      </c>
      <c r="P74" s="42">
        <f t="shared" si="5"/>
        <v>1.0682281727999999E-2</v>
      </c>
    </row>
    <row r="75" spans="1:16" ht="18.75" x14ac:dyDescent="0.3">
      <c r="B75" s="52"/>
      <c r="C75" s="8" t="s">
        <v>0</v>
      </c>
      <c r="D75" s="7">
        <f>10000*0.012243</f>
        <v>122.43</v>
      </c>
      <c r="E75" s="56"/>
      <c r="F75" s="56"/>
      <c r="G75" s="56"/>
      <c r="H75" s="56"/>
      <c r="I75" s="42">
        <f>$C$10*10^-12*E74*K7*10^6*D75*10^-6</f>
        <v>3.5559879619035555</v>
      </c>
      <c r="J75" s="42">
        <f>$C$10*10^6*10^-12*F74*L7*D75*10^-6</f>
        <v>3.6250128291956965</v>
      </c>
      <c r="K75" s="42">
        <f>$C$10*I7*G74*10^-12*10^6*D75*10^-6</f>
        <v>3.5810774999999997</v>
      </c>
      <c r="L75" s="42">
        <f>$C$10*J7*H74*10^-12*10^6*D75*10^-6</f>
        <v>3.6352895040000002</v>
      </c>
      <c r="M75" s="42">
        <f>0.012*I75</f>
        <v>4.2671855542842668E-2</v>
      </c>
      <c r="N75" s="42">
        <f t="shared" si="5"/>
        <v>4.3500153950348355E-2</v>
      </c>
      <c r="O75" s="42">
        <f>0.012*K75</f>
        <v>4.2972929999999999E-2</v>
      </c>
      <c r="P75" s="42">
        <f t="shared" si="5"/>
        <v>4.3623474048000002E-2</v>
      </c>
    </row>
    <row r="76" spans="1:16" ht="18.75" x14ac:dyDescent="0.25">
      <c r="B76" s="2"/>
      <c r="C76" s="2"/>
      <c r="D76" s="2"/>
      <c r="E76" s="2"/>
      <c r="F76" s="2"/>
      <c r="G76" s="2"/>
      <c r="H76" s="2"/>
      <c r="I76" s="2"/>
      <c r="J76" s="3"/>
      <c r="K76" s="2"/>
      <c r="L76" s="2"/>
      <c r="M76" s="2"/>
      <c r="N76" s="2"/>
      <c r="O76" s="2"/>
      <c r="P76" s="2"/>
    </row>
    <row r="77" spans="1:16" ht="18.75" x14ac:dyDescent="0.25"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18.75" x14ac:dyDescent="0.25">
      <c r="D78" s="46" t="s">
        <v>71</v>
      </c>
      <c r="E78" s="47"/>
      <c r="F78" s="47"/>
      <c r="G78" s="48"/>
      <c r="H78" s="46" t="s">
        <v>72</v>
      </c>
      <c r="I78" s="47"/>
      <c r="J78" s="47"/>
      <c r="K78" s="48"/>
      <c r="L78" s="46" t="s">
        <v>73</v>
      </c>
      <c r="M78" s="47"/>
      <c r="N78" s="47"/>
      <c r="O78" s="48"/>
    </row>
    <row r="79" spans="1:16" ht="18.75" x14ac:dyDescent="0.25">
      <c r="D79" s="53" t="s">
        <v>31</v>
      </c>
      <c r="E79" s="53"/>
      <c r="F79" s="53" t="s">
        <v>32</v>
      </c>
      <c r="G79" s="53"/>
      <c r="H79" s="53" t="s">
        <v>31</v>
      </c>
      <c r="I79" s="53"/>
      <c r="J79" s="53" t="s">
        <v>32</v>
      </c>
      <c r="K79" s="53"/>
      <c r="L79" s="53" t="s">
        <v>31</v>
      </c>
      <c r="M79" s="53"/>
      <c r="N79" s="53" t="s">
        <v>32</v>
      </c>
      <c r="O79" s="53"/>
    </row>
    <row r="80" spans="1:16" ht="18.75" x14ac:dyDescent="0.25">
      <c r="D80" s="4" t="s">
        <v>8</v>
      </c>
      <c r="E80" s="4" t="s">
        <v>7</v>
      </c>
      <c r="F80" s="4" t="s">
        <v>8</v>
      </c>
      <c r="G80" s="4" t="s">
        <v>7</v>
      </c>
      <c r="H80" s="4" t="s">
        <v>8</v>
      </c>
      <c r="I80" s="4" t="s">
        <v>7</v>
      </c>
      <c r="J80" s="4" t="s">
        <v>8</v>
      </c>
      <c r="K80" s="4" t="s">
        <v>7</v>
      </c>
      <c r="L80" s="4" t="s">
        <v>8</v>
      </c>
      <c r="M80" s="4" t="s">
        <v>7</v>
      </c>
      <c r="N80" s="4" t="s">
        <v>8</v>
      </c>
      <c r="O80" s="4" t="s">
        <v>7</v>
      </c>
    </row>
    <row r="81" spans="2:21" ht="18.75" x14ac:dyDescent="0.3">
      <c r="B81" s="52" t="s">
        <v>6</v>
      </c>
      <c r="C81" s="8" t="s">
        <v>5</v>
      </c>
      <c r="D81" s="42">
        <f>M71*10^-6/$C$42</f>
        <v>2.4335519483308087E-10</v>
      </c>
      <c r="E81" s="42">
        <f>N71*10^-6/$C$42</f>
        <v>2.4421785181123675E-10</v>
      </c>
      <c r="F81" s="42">
        <f>O71*10^-6/$C$42</f>
        <v>2.4366875813231908E-10</v>
      </c>
      <c r="G81" s="42">
        <f>P71*10^-6/$C$42</f>
        <v>2.4422877549794811E-10</v>
      </c>
      <c r="H81" s="42">
        <f>(EXP(F49*10^6*$F$41)-1)*$F$42/$F$41*D81</f>
        <v>2.1194688975837358E-12</v>
      </c>
      <c r="I81" s="42">
        <f>(EXP(F49*10^6*$F$41)-1)*$F$42/$F$41*E81</f>
        <v>2.1269820909459693E-12</v>
      </c>
      <c r="J81" s="42">
        <f>(EXP(F49*10^6*$F$41)-1)*$F$42/$F$41*F81</f>
        <v>2.1221998343965495E-12</v>
      </c>
      <c r="K81" s="42">
        <f>(EXP(F49*10^6*$F$41)-1)*$F$42/$F$41*G81</f>
        <v>2.1270772293063712E-12</v>
      </c>
      <c r="L81" s="43">
        <f>H81/$L$42</f>
        <v>6055.6254216678171</v>
      </c>
      <c r="M81" s="43">
        <f>I81/$L$42</f>
        <v>6077.0916884170556</v>
      </c>
      <c r="N81" s="43">
        <f>J81/$L$42</f>
        <v>6063.4280982758564</v>
      </c>
      <c r="O81" s="43">
        <f>K81/$L$42</f>
        <v>6077.3635123039185</v>
      </c>
    </row>
    <row r="82" spans="2:21" ht="18.75" x14ac:dyDescent="0.3">
      <c r="B82" s="52"/>
      <c r="C82" s="8" t="s">
        <v>4</v>
      </c>
      <c r="D82" s="42">
        <f>M72*10^-6/$C$42</f>
        <v>6.5665190187015878E-10</v>
      </c>
      <c r="E82" s="42">
        <f>N72*10^-6/$C$42</f>
        <v>6.5897963251817771E-10</v>
      </c>
      <c r="F82" s="42">
        <f>O72*10^-6/$C$42</f>
        <v>6.5749799819837843E-10</v>
      </c>
      <c r="G82" s="42">
        <f>P72*10^-6/$C$42</f>
        <v>6.5900910819737745E-10</v>
      </c>
      <c r="H82" s="42">
        <f>(EXP(F49*10^6*$F$41)-1)*$F$42/$F$41*D82</f>
        <v>5.7190202309329074E-12</v>
      </c>
      <c r="I82" s="42">
        <f>(EXP(F49*10^6*$F$41)-1)*$F$42/$F$41*E82</f>
        <v>5.73929328371821E-12</v>
      </c>
      <c r="J82" s="42">
        <f>(EXP(F49*10^6*$F$41)-1)*$F$42/$F$41*F82</f>
        <v>5.7263891915719082E-12</v>
      </c>
      <c r="K82" s="42">
        <f>(EXP(F49*10^6*$F$41)-1)*$F$42/$F$41*G82</f>
        <v>5.7395499981283622E-12</v>
      </c>
      <c r="L82" s="43">
        <f>H82/$L$42</f>
        <v>16340.057802665451</v>
      </c>
      <c r="M82" s="43">
        <f>I82/$L$42</f>
        <v>16397.98081062346</v>
      </c>
      <c r="N82" s="43">
        <f>J82/$L$42</f>
        <v>16361.111975919739</v>
      </c>
      <c r="O82" s="43">
        <f>K82/$L$42</f>
        <v>16398.714280366752</v>
      </c>
    </row>
    <row r="83" spans="2:21" ht="18.75" x14ac:dyDescent="0.3">
      <c r="B83" s="52"/>
      <c r="C83" s="8" t="s">
        <v>3</v>
      </c>
      <c r="D83" s="42">
        <f>M73*10^-6/$C$42</f>
        <v>8.154959969325502E-10</v>
      </c>
      <c r="E83" s="42">
        <f>N73*10^-6/$C$42</f>
        <v>8.1838680562432515E-10</v>
      </c>
      <c r="F83" s="42">
        <f>O73*10^-6/$C$42</f>
        <v>8.1654676396256631E-10</v>
      </c>
      <c r="G83" s="42">
        <f>P73*10^-6/$C$42</f>
        <v>8.184234114703233E-10</v>
      </c>
      <c r="H83" s="42">
        <f>(EXP(F49*10^6*$F$41)-1)*$F$42/$F$41*D83</f>
        <v>7.1024512247955779E-12</v>
      </c>
      <c r="I83" s="42">
        <f>(EXP(F49*10^6*$F$41)-1)*$F$42/$F$41*E83</f>
        <v>7.1276283290496467E-12</v>
      </c>
      <c r="J83" s="42">
        <f>(EXP(F49*10^6*$F$41)-1)*$F$42/$F$41*F83</f>
        <v>7.1116027370131542E-12</v>
      </c>
      <c r="K83" s="42">
        <f>(EXP(F49*10^6*$F$41)-1)*$F$42/$F$41*G83</f>
        <v>7.1279471426756151E-12</v>
      </c>
      <c r="L83" s="43">
        <f>H83/$L$42</f>
        <v>20292.717785130226</v>
      </c>
      <c r="M83" s="43">
        <f>I83/$L$42</f>
        <v>20364.652368713279</v>
      </c>
      <c r="N83" s="43">
        <f>J83/$L$42</f>
        <v>20318.864962894728</v>
      </c>
      <c r="O83" s="43">
        <f>K83/$L$42</f>
        <v>20365.563264787474</v>
      </c>
    </row>
    <row r="84" spans="2:21" ht="18.75" x14ac:dyDescent="0.3">
      <c r="B84" s="52" t="s">
        <v>2</v>
      </c>
      <c r="C84" s="8" t="s">
        <v>1</v>
      </c>
      <c r="D84" s="42">
        <f>M74*10^-6/$C$42</f>
        <v>2.6146668266538777E-10</v>
      </c>
      <c r="E84" s="42">
        <f>N74*10^-6/$C$42</f>
        <v>2.6654198192557805E-10</v>
      </c>
      <c r="F84" s="42">
        <f>O74*10^-6/$C$42</f>
        <v>2.6331148033229905E-10</v>
      </c>
      <c r="G84" s="42">
        <f>P74*10^-6/$C$42</f>
        <v>2.6729761104994495E-10</v>
      </c>
      <c r="H84" s="42">
        <f>(EXP(F48*10^6*$F$41)-1)*$F$42/$F$41*D84</f>
        <v>1.5138816060937098E-12</v>
      </c>
      <c r="I84" s="42">
        <f>(EXP(F48*10^6*$F$41)-1)*$F$42/$F$41*E84</f>
        <v>1.5432673852572293E-12</v>
      </c>
      <c r="J84" s="42">
        <f>(EXP(F48*10^6*$F$41)-1)*$F$42/$F$41*F84</f>
        <v>1.5245629105965695E-12</v>
      </c>
      <c r="K84" s="42">
        <f>(EXP(F48*10^6*$F$41)-1)*$F$42/$F$41*G84</f>
        <v>1.5476424475816008E-12</v>
      </c>
      <c r="L84" s="43">
        <f>H84/$L$42</f>
        <v>4325.3760174106001</v>
      </c>
      <c r="M84" s="43">
        <f>I84/$L$42</f>
        <v>4409.3353864492265</v>
      </c>
      <c r="N84" s="43">
        <f>J84/$L$42</f>
        <v>4355.8940302759138</v>
      </c>
      <c r="O84" s="43">
        <f>K84/$L$42</f>
        <v>4421.8355645188603</v>
      </c>
    </row>
    <row r="85" spans="2:21" ht="18.75" x14ac:dyDescent="0.3">
      <c r="B85" s="52"/>
      <c r="C85" s="8" t="s">
        <v>0</v>
      </c>
      <c r="D85" s="42">
        <f>M75*10^-6/$C$42</f>
        <v>1.0677573702042504E-9</v>
      </c>
      <c r="E85" s="42">
        <f>N75*10^-6/$C$42</f>
        <v>1.0884834838942136E-9</v>
      </c>
      <c r="F85" s="42">
        <f>O75*10^-6/$C$42</f>
        <v>1.0752910119107195E-9</v>
      </c>
      <c r="G85" s="42">
        <f>P75*10^-6/$C$42</f>
        <v>1.0915692635371835E-9</v>
      </c>
      <c r="H85" s="42">
        <f>(EXP(F48*10^6*$F$41)-1)*$F$42/$F$41*D85</f>
        <v>6.1822723493680096E-12</v>
      </c>
      <c r="I85" s="42">
        <f>(EXP(F48*10^6*$F$41)-1)*$F$42/$F$41*E85</f>
        <v>6.3022757163790062E-12</v>
      </c>
      <c r="J85" s="42">
        <f>(EXP(F48*10^6*$F$41)-1)*$F$42/$F$41*F85</f>
        <v>6.2258918326997325E-12</v>
      </c>
      <c r="K85" s="42">
        <f>(EXP(F48*10^6*$F$41)-1)*$F$42/$F$41*G85</f>
        <v>6.3201422567516811E-12</v>
      </c>
      <c r="L85" s="43">
        <f>H85/$L$42</f>
        <v>17663.635283908599</v>
      </c>
      <c r="M85" s="43">
        <f>I85/$L$42</f>
        <v>18006.502046797163</v>
      </c>
      <c r="N85" s="43">
        <f>J85/$L$42</f>
        <v>17788.262379142096</v>
      </c>
      <c r="O85" s="43">
        <f>K85/$L$42</f>
        <v>18057.549305004806</v>
      </c>
    </row>
    <row r="86" spans="2:21" x14ac:dyDescent="0.25">
      <c r="U86" s="23"/>
    </row>
    <row r="87" spans="2:21" x14ac:dyDescent="0.25">
      <c r="U87" s="23"/>
    </row>
    <row r="88" spans="2:21" x14ac:dyDescent="0.25">
      <c r="U88" s="23"/>
    </row>
    <row r="89" spans="2:21" x14ac:dyDescent="0.25">
      <c r="U89" s="23"/>
    </row>
    <row r="90" spans="2:21" x14ac:dyDescent="0.25">
      <c r="U90" s="23"/>
    </row>
    <row r="91" spans="2:21" x14ac:dyDescent="0.25">
      <c r="U91" s="23"/>
    </row>
    <row r="92" spans="2:21" x14ac:dyDescent="0.25">
      <c r="U92" s="23"/>
    </row>
  </sheetData>
  <mergeCells count="63">
    <mergeCell ref="C56:D56"/>
    <mergeCell ref="F2:L2"/>
    <mergeCell ref="H74:H75"/>
    <mergeCell ref="F16:G16"/>
    <mergeCell ref="D29:E29"/>
    <mergeCell ref="F29:G29"/>
    <mergeCell ref="D28:G28"/>
    <mergeCell ref="B2:D2"/>
    <mergeCell ref="H28:K28"/>
    <mergeCell ref="H29:I29"/>
    <mergeCell ref="J29:K29"/>
    <mergeCell ref="H16:I16"/>
    <mergeCell ref="J16:K16"/>
    <mergeCell ref="L16:M16"/>
    <mergeCell ref="H71:H73"/>
    <mergeCell ref="G74:G75"/>
    <mergeCell ref="H79:I79"/>
    <mergeCell ref="J79:K79"/>
    <mergeCell ref="F79:G79"/>
    <mergeCell ref="N16:O16"/>
    <mergeCell ref="B71:B73"/>
    <mergeCell ref="B74:B75"/>
    <mergeCell ref="E71:E73"/>
    <mergeCell ref="E74:E75"/>
    <mergeCell ref="F71:F73"/>
    <mergeCell ref="F74:F75"/>
    <mergeCell ref="K69:L69"/>
    <mergeCell ref="I69:J69"/>
    <mergeCell ref="E69:F69"/>
    <mergeCell ref="G69:H69"/>
    <mergeCell ref="M69:N69"/>
    <mergeCell ref="O69:P69"/>
    <mergeCell ref="K43:N43"/>
    <mergeCell ref="K44:L44"/>
    <mergeCell ref="M44:N44"/>
    <mergeCell ref="B43:E43"/>
    <mergeCell ref="B44:C44"/>
    <mergeCell ref="D44:E44"/>
    <mergeCell ref="G43:J43"/>
    <mergeCell ref="G44:H44"/>
    <mergeCell ref="I44:J44"/>
    <mergeCell ref="G71:G73"/>
    <mergeCell ref="G5:H5"/>
    <mergeCell ref="G6:H6"/>
    <mergeCell ref="G7:H7"/>
    <mergeCell ref="G8:H8"/>
    <mergeCell ref="G11:H11"/>
    <mergeCell ref="L78:O78"/>
    <mergeCell ref="B15:O15"/>
    <mergeCell ref="B81:B83"/>
    <mergeCell ref="B84:B85"/>
    <mergeCell ref="B68:P68"/>
    <mergeCell ref="D78:G78"/>
    <mergeCell ref="H78:K78"/>
    <mergeCell ref="D79:E79"/>
    <mergeCell ref="L79:M79"/>
    <mergeCell ref="N79:O79"/>
    <mergeCell ref="G12:H12"/>
    <mergeCell ref="G4:H4"/>
    <mergeCell ref="K3:L3"/>
    <mergeCell ref="I3:J3"/>
    <mergeCell ref="G9:H9"/>
    <mergeCell ref="G10:H10"/>
  </mergeCells>
  <conditionalFormatting sqref="F5:F12">
    <cfRule type="duplicateValues" dxfId="2" priority="1"/>
  </conditionalFormatting>
  <conditionalFormatting sqref="B31:B38">
    <cfRule type="duplicateValues" dxfId="1" priority="4"/>
  </conditionalFormatting>
  <conditionalFormatting sqref="B59:B65">
    <cfRule type="duplicateValues" dxfId="0" priority="2"/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>
              <from>
                <xdr:col>6</xdr:col>
                <xdr:colOff>209550</xdr:colOff>
                <xdr:row>54</xdr:row>
                <xdr:rowOff>238125</xdr:rowOff>
              </from>
              <to>
                <xdr:col>9</xdr:col>
                <xdr:colOff>781050</xdr:colOff>
                <xdr:row>61</xdr:row>
                <xdr:rowOff>161925</xdr:rowOff>
              </to>
            </anchor>
          </objectPr>
        </oleObject>
      </mc:Choice>
      <mc:Fallback>
        <oleObject progId="Equation.3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Rursee K ppm estimation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Huseynov, A.A.O. (Akbar Aydin Oglu)</dc:creator>
  <cp:lastModifiedBy>Huseynov, A.A.O. (Akbar Aydin Oglu)</cp:lastModifiedBy>
  <dcterms:created xsi:type="dcterms:W3CDTF">2024-02-07T16:05:45Z</dcterms:created>
  <dcterms:modified xsi:type="dcterms:W3CDTF">2024-08-08T12:43:14Z</dcterms:modified>
</cp:coreProperties>
</file>